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elta.andmevara.ee/tapa_vald/webdav/e69da2bb71f36913df22965fc9368049020865d0/36809012738/280a7078-3d3a-4816-8c0a-86e5855cce9a/"/>
    </mc:Choice>
  </mc:AlternateContent>
  <bookViews>
    <workbookView xWindow="0" yWindow="0" windowWidth="28800" windowHeight="14100" tabRatio="500" activeTab="1"/>
  </bookViews>
  <sheets>
    <sheet name="Strateegia vorm KOV" sheetId="1" r:id="rId1"/>
    <sheet name="Arvestusüksus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7" i="2" l="1"/>
  <c r="G14" i="2"/>
  <c r="F14" i="2"/>
  <c r="E14" i="2"/>
  <c r="D14" i="2"/>
  <c r="C14" i="2"/>
  <c r="B14" i="2"/>
  <c r="G13" i="2"/>
  <c r="F13" i="2"/>
  <c r="E13" i="2"/>
  <c r="D13" i="2"/>
  <c r="C13" i="2"/>
  <c r="B13" i="2"/>
  <c r="B15" i="2" s="1"/>
  <c r="B16" i="2" s="1"/>
  <c r="B12" i="2"/>
  <c r="G9" i="2"/>
  <c r="F9" i="2"/>
  <c r="E9" i="2"/>
  <c r="D9" i="2"/>
  <c r="C9" i="2"/>
  <c r="B9" i="2"/>
  <c r="G8" i="2"/>
  <c r="F8" i="2"/>
  <c r="E8" i="2"/>
  <c r="D8" i="2"/>
  <c r="C8" i="2"/>
  <c r="B8" i="2"/>
  <c r="G6" i="2"/>
  <c r="F6" i="2"/>
  <c r="E6" i="2"/>
  <c r="D6" i="2"/>
  <c r="C6" i="2"/>
  <c r="B6" i="2"/>
  <c r="G4" i="2"/>
  <c r="F4" i="2"/>
  <c r="E4" i="2"/>
  <c r="D4" i="2"/>
  <c r="C4" i="2"/>
  <c r="B4" i="2"/>
  <c r="G3" i="2"/>
  <c r="G5" i="2" s="1"/>
  <c r="F3" i="2"/>
  <c r="F5" i="2" s="1"/>
  <c r="E3" i="2"/>
  <c r="D3" i="2"/>
  <c r="C3" i="2"/>
  <c r="C5" i="2" s="1"/>
  <c r="B3" i="2"/>
  <c r="B5" i="2" s="1"/>
  <c r="G2" i="2"/>
  <c r="F2" i="2"/>
  <c r="E2" i="2"/>
  <c r="E5" i="2" s="1"/>
  <c r="D2" i="2"/>
  <c r="D5" i="2" s="1"/>
  <c r="C2" i="2"/>
  <c r="B2" i="2"/>
  <c r="G156" i="1"/>
  <c r="F156" i="1"/>
  <c r="E156" i="1"/>
  <c r="D156" i="1"/>
  <c r="D154" i="1" s="1"/>
  <c r="C156" i="1"/>
  <c r="G155" i="1"/>
  <c r="F155" i="1"/>
  <c r="E155" i="1"/>
  <c r="E154" i="1" s="1"/>
  <c r="D155" i="1"/>
  <c r="C155" i="1"/>
  <c r="G154" i="1"/>
  <c r="F154" i="1"/>
  <c r="C154" i="1"/>
  <c r="G151" i="1"/>
  <c r="F151" i="1"/>
  <c r="E151" i="1"/>
  <c r="D151" i="1"/>
  <c r="C151" i="1"/>
  <c r="G148" i="1"/>
  <c r="F148" i="1"/>
  <c r="E148" i="1"/>
  <c r="D148" i="1"/>
  <c r="C148" i="1"/>
  <c r="G145" i="1"/>
  <c r="F145" i="1"/>
  <c r="E145" i="1"/>
  <c r="D145" i="1"/>
  <c r="C145" i="1"/>
  <c r="G142" i="1"/>
  <c r="F142" i="1"/>
  <c r="E142" i="1"/>
  <c r="D142" i="1"/>
  <c r="C142" i="1"/>
  <c r="G139" i="1"/>
  <c r="F139" i="1"/>
  <c r="E139" i="1"/>
  <c r="D139" i="1"/>
  <c r="C139" i="1"/>
  <c r="G136" i="1"/>
  <c r="F136" i="1"/>
  <c r="E136" i="1"/>
  <c r="D136" i="1"/>
  <c r="C136" i="1"/>
  <c r="G133" i="1"/>
  <c r="F133" i="1"/>
  <c r="E133" i="1"/>
  <c r="D133" i="1"/>
  <c r="C133" i="1"/>
  <c r="G130" i="1"/>
  <c r="F130" i="1"/>
  <c r="E130" i="1"/>
  <c r="D130" i="1"/>
  <c r="C130" i="1"/>
  <c r="G127" i="1"/>
  <c r="F127" i="1"/>
  <c r="E127" i="1"/>
  <c r="D127" i="1"/>
  <c r="C127" i="1"/>
  <c r="G124" i="1"/>
  <c r="F124" i="1"/>
  <c r="E124" i="1"/>
  <c r="D124" i="1"/>
  <c r="C124" i="1"/>
  <c r="G121" i="1"/>
  <c r="F121" i="1"/>
  <c r="E121" i="1"/>
  <c r="D121" i="1"/>
  <c r="C121" i="1"/>
  <c r="G118" i="1"/>
  <c r="F118" i="1"/>
  <c r="E118" i="1"/>
  <c r="D118" i="1"/>
  <c r="C118" i="1"/>
  <c r="G115" i="1"/>
  <c r="F115" i="1"/>
  <c r="E115" i="1"/>
  <c r="D115" i="1"/>
  <c r="C115" i="1"/>
  <c r="G112" i="1"/>
  <c r="F112" i="1"/>
  <c r="E112" i="1"/>
  <c r="D112" i="1"/>
  <c r="C112" i="1"/>
  <c r="G109" i="1"/>
  <c r="F109" i="1"/>
  <c r="E109" i="1"/>
  <c r="D109" i="1"/>
  <c r="C109" i="1"/>
  <c r="G106" i="1"/>
  <c r="F106" i="1"/>
  <c r="E106" i="1"/>
  <c r="D106" i="1"/>
  <c r="C106" i="1"/>
  <c r="G103" i="1"/>
  <c r="F103" i="1"/>
  <c r="E103" i="1"/>
  <c r="D103" i="1"/>
  <c r="C103" i="1"/>
  <c r="G100" i="1"/>
  <c r="F100" i="1"/>
  <c r="E100" i="1"/>
  <c r="D100" i="1"/>
  <c r="C100" i="1"/>
  <c r="G97" i="1"/>
  <c r="F97" i="1"/>
  <c r="E97" i="1"/>
  <c r="D97" i="1"/>
  <c r="C97" i="1"/>
  <c r="G94" i="1"/>
  <c r="F94" i="1"/>
  <c r="E94" i="1"/>
  <c r="D94" i="1"/>
  <c r="C94" i="1"/>
  <c r="G87" i="1"/>
  <c r="F87" i="1"/>
  <c r="F85" i="1" s="1"/>
  <c r="E87" i="1"/>
  <c r="D87" i="1"/>
  <c r="C87" i="1"/>
  <c r="G86" i="1"/>
  <c r="G85" i="1" s="1"/>
  <c r="F86" i="1"/>
  <c r="E86" i="1"/>
  <c r="D86" i="1"/>
  <c r="D85" i="1" s="1"/>
  <c r="C86" i="1"/>
  <c r="C85" i="1" s="1"/>
  <c r="E85" i="1"/>
  <c r="G84" i="1"/>
  <c r="F84" i="1"/>
  <c r="E84" i="1"/>
  <c r="E82" i="1" s="1"/>
  <c r="D84" i="1"/>
  <c r="C84" i="1"/>
  <c r="G83" i="1"/>
  <c r="G82" i="1" s="1"/>
  <c r="F83" i="1"/>
  <c r="F82" i="1" s="1"/>
  <c r="E83" i="1"/>
  <c r="D83" i="1"/>
  <c r="C83" i="1"/>
  <c r="C82" i="1" s="1"/>
  <c r="D82" i="1"/>
  <c r="G81" i="1"/>
  <c r="F81" i="1"/>
  <c r="E81" i="1"/>
  <c r="D81" i="1"/>
  <c r="D79" i="1" s="1"/>
  <c r="C81" i="1"/>
  <c r="G80" i="1"/>
  <c r="F80" i="1"/>
  <c r="F79" i="1" s="1"/>
  <c r="E80" i="1"/>
  <c r="E79" i="1" s="1"/>
  <c r="D80" i="1"/>
  <c r="C80" i="1"/>
  <c r="G79" i="1"/>
  <c r="C79" i="1"/>
  <c r="G78" i="1"/>
  <c r="G76" i="1" s="1"/>
  <c r="F78" i="1"/>
  <c r="E78" i="1"/>
  <c r="D78" i="1"/>
  <c r="D90" i="1" s="1"/>
  <c r="D24" i="1" s="1"/>
  <c r="D52" i="1" s="1"/>
  <c r="C78" i="1"/>
  <c r="C76" i="1" s="1"/>
  <c r="G77" i="1"/>
  <c r="F77" i="1"/>
  <c r="E77" i="1"/>
  <c r="E76" i="1" s="1"/>
  <c r="D77" i="1"/>
  <c r="D76" i="1" s="1"/>
  <c r="C77" i="1"/>
  <c r="F76" i="1"/>
  <c r="G75" i="1"/>
  <c r="F75" i="1"/>
  <c r="F73" i="1" s="1"/>
  <c r="E75" i="1"/>
  <c r="D75" i="1"/>
  <c r="C75" i="1"/>
  <c r="G74" i="1"/>
  <c r="G73" i="1" s="1"/>
  <c r="F74" i="1"/>
  <c r="E74" i="1"/>
  <c r="D74" i="1"/>
  <c r="D73" i="1" s="1"/>
  <c r="C74" i="1"/>
  <c r="C73" i="1" s="1"/>
  <c r="E73" i="1"/>
  <c r="G70" i="1"/>
  <c r="F70" i="1"/>
  <c r="E70" i="1"/>
  <c r="D70" i="1"/>
  <c r="C70" i="1"/>
  <c r="G69" i="1"/>
  <c r="G90" i="1" s="1"/>
  <c r="G24" i="1" s="1"/>
  <c r="G52" i="1" s="1"/>
  <c r="F69" i="1"/>
  <c r="F90" i="1" s="1"/>
  <c r="F24" i="1" s="1"/>
  <c r="F52" i="1" s="1"/>
  <c r="E69" i="1"/>
  <c r="E90" i="1" s="1"/>
  <c r="E24" i="1" s="1"/>
  <c r="E52" i="1" s="1"/>
  <c r="D69" i="1"/>
  <c r="C69" i="1"/>
  <c r="G68" i="1"/>
  <c r="G89" i="1" s="1"/>
  <c r="F68" i="1"/>
  <c r="F89" i="1" s="1"/>
  <c r="E68" i="1"/>
  <c r="D68" i="1"/>
  <c r="D89" i="1" s="1"/>
  <c r="C68" i="1"/>
  <c r="C67" i="1" s="1"/>
  <c r="E67" i="1"/>
  <c r="C66" i="1"/>
  <c r="C90" i="1" s="1"/>
  <c r="C24" i="1" s="1"/>
  <c r="C52" i="1" s="1"/>
  <c r="C65" i="1"/>
  <c r="C64" i="1" s="1"/>
  <c r="G64" i="1"/>
  <c r="F64" i="1"/>
  <c r="E64" i="1"/>
  <c r="D64" i="1"/>
  <c r="G61" i="1"/>
  <c r="F61" i="1"/>
  <c r="E61" i="1"/>
  <c r="D61" i="1"/>
  <c r="C61" i="1"/>
  <c r="G58" i="1"/>
  <c r="F58" i="1"/>
  <c r="E58" i="1"/>
  <c r="D58" i="1"/>
  <c r="C58" i="1"/>
  <c r="C44" i="1"/>
  <c r="B44" i="1"/>
  <c r="B42" i="1"/>
  <c r="B45" i="1" s="1"/>
  <c r="B41" i="1"/>
  <c r="C41" i="1" s="1"/>
  <c r="G38" i="1"/>
  <c r="F38" i="1"/>
  <c r="E38" i="1"/>
  <c r="D38" i="1"/>
  <c r="C38" i="1"/>
  <c r="B38" i="1"/>
  <c r="C37" i="1"/>
  <c r="B37" i="1"/>
  <c r="G36" i="1"/>
  <c r="G34" i="1" s="1"/>
  <c r="F36" i="1"/>
  <c r="E36" i="1"/>
  <c r="D36" i="1"/>
  <c r="C36" i="1"/>
  <c r="B36" i="1"/>
  <c r="C35" i="1"/>
  <c r="B35" i="1"/>
  <c r="F34" i="1"/>
  <c r="E34" i="1"/>
  <c r="D34" i="1"/>
  <c r="C34" i="1"/>
  <c r="C42" i="1" s="1"/>
  <c r="B34" i="1"/>
  <c r="G32" i="1"/>
  <c r="F32" i="1"/>
  <c r="E32" i="1"/>
  <c r="D32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C21" i="1" s="1"/>
  <c r="B26" i="1"/>
  <c r="C25" i="1"/>
  <c r="B25" i="1"/>
  <c r="C23" i="1"/>
  <c r="B23" i="1"/>
  <c r="B24" i="1" s="1"/>
  <c r="B52" i="1" s="1"/>
  <c r="D22" i="1"/>
  <c r="C22" i="1"/>
  <c r="B22" i="1"/>
  <c r="B21" i="1"/>
  <c r="C19" i="1"/>
  <c r="B19" i="1"/>
  <c r="I17" i="1"/>
  <c r="E17" i="1"/>
  <c r="J17" i="1" s="1"/>
  <c r="C17" i="1"/>
  <c r="H17" i="1" s="1"/>
  <c r="B17" i="1"/>
  <c r="E16" i="1"/>
  <c r="J16" i="1" s="1"/>
  <c r="C16" i="1"/>
  <c r="I16" i="1" s="1"/>
  <c r="B16" i="1"/>
  <c r="B15" i="1" s="1"/>
  <c r="D15" i="1"/>
  <c r="C15" i="1"/>
  <c r="C14" i="1"/>
  <c r="B14" i="1"/>
  <c r="B13" i="1" s="1"/>
  <c r="D13" i="1"/>
  <c r="D54" i="1" s="1"/>
  <c r="C13" i="1"/>
  <c r="C54" i="1" s="1"/>
  <c r="C12" i="1"/>
  <c r="B12" i="1"/>
  <c r="C11" i="1"/>
  <c r="B11" i="1"/>
  <c r="C10" i="1"/>
  <c r="D10" i="1" s="1"/>
  <c r="B10" i="1"/>
  <c r="C9" i="1"/>
  <c r="B9" i="1"/>
  <c r="C8" i="1"/>
  <c r="B8" i="1"/>
  <c r="C7" i="1"/>
  <c r="B7" i="1"/>
  <c r="C6" i="1"/>
  <c r="B6" i="1"/>
  <c r="B3" i="1" s="1"/>
  <c r="B2" i="1" s="1"/>
  <c r="C5" i="1"/>
  <c r="B5" i="1"/>
  <c r="C4" i="1"/>
  <c r="C3" i="1" s="1"/>
  <c r="C2" i="1" s="1"/>
  <c r="B4" i="1"/>
  <c r="D17" i="2" l="1"/>
  <c r="D7" i="2"/>
  <c r="D10" i="2" s="1"/>
  <c r="B7" i="2"/>
  <c r="B10" i="2" s="1"/>
  <c r="B17" i="2"/>
  <c r="E7" i="2"/>
  <c r="E10" i="2" s="1"/>
  <c r="E17" i="2"/>
  <c r="C17" i="2"/>
  <c r="C7" i="2"/>
  <c r="G17" i="2"/>
  <c r="G7" i="2"/>
  <c r="G10" i="2" s="1"/>
  <c r="C10" i="2"/>
  <c r="D15" i="2"/>
  <c r="D16" i="2" s="1"/>
  <c r="F7" i="2"/>
  <c r="F10" i="2" s="1"/>
  <c r="F17" i="2"/>
  <c r="E15" i="2"/>
  <c r="E16" i="2" s="1"/>
  <c r="C15" i="2"/>
  <c r="C16" i="2" s="1"/>
  <c r="F15" i="2"/>
  <c r="F16" i="2" s="1"/>
  <c r="C12" i="2"/>
  <c r="D12" i="2" s="1"/>
  <c r="E12" i="2" s="1"/>
  <c r="F12" i="2" s="1"/>
  <c r="G12" i="2" s="1"/>
  <c r="G15" i="2" s="1"/>
  <c r="G16" i="2" s="1"/>
  <c r="C20" i="1"/>
  <c r="C55" i="1"/>
  <c r="C53" i="1"/>
  <c r="E10" i="1"/>
  <c r="D8" i="1"/>
  <c r="B46" i="1"/>
  <c r="G25" i="1"/>
  <c r="G88" i="1"/>
  <c r="G23" i="1" s="1"/>
  <c r="D25" i="1"/>
  <c r="D88" i="1"/>
  <c r="D23" i="1" s="1"/>
  <c r="D91" i="1" s="1"/>
  <c r="B55" i="1"/>
  <c r="B20" i="1"/>
  <c r="C45" i="1"/>
  <c r="C46" i="1" s="1"/>
  <c r="D42" i="1"/>
  <c r="F88" i="1"/>
  <c r="F23" i="1" s="1"/>
  <c r="F25" i="1"/>
  <c r="E89" i="1"/>
  <c r="D4" i="1"/>
  <c r="H4" i="1"/>
  <c r="E15" i="1"/>
  <c r="E13" i="1" s="1"/>
  <c r="E54" i="1" s="1"/>
  <c r="H16" i="1"/>
  <c r="F17" i="1"/>
  <c r="F67" i="1"/>
  <c r="G67" i="1"/>
  <c r="C89" i="1"/>
  <c r="C88" i="1" s="1"/>
  <c r="C91" i="1" s="1"/>
  <c r="F16" i="1"/>
  <c r="D67" i="1"/>
  <c r="B18" i="2" l="1"/>
  <c r="B19" i="2"/>
  <c r="G19" i="2"/>
  <c r="G18" i="2"/>
  <c r="E18" i="2"/>
  <c r="E19" i="2"/>
  <c r="F19" i="2"/>
  <c r="F18" i="2"/>
  <c r="C19" i="2"/>
  <c r="C18" i="2"/>
  <c r="D18" i="2"/>
  <c r="D19" i="2"/>
  <c r="F15" i="1"/>
  <c r="F13" i="1" s="1"/>
  <c r="G16" i="1"/>
  <c r="K16" i="1"/>
  <c r="F91" i="1"/>
  <c r="F21" i="1"/>
  <c r="E42" i="1"/>
  <c r="K17" i="1"/>
  <c r="G17" i="1"/>
  <c r="L17" i="1" s="1"/>
  <c r="D3" i="1"/>
  <c r="D2" i="1" s="1"/>
  <c r="I4" i="1"/>
  <c r="E4" i="1"/>
  <c r="D21" i="1"/>
  <c r="E88" i="1"/>
  <c r="E23" i="1" s="1"/>
  <c r="E25" i="1"/>
  <c r="B47" i="1"/>
  <c r="B33" i="1"/>
  <c r="B51" i="1" s="1"/>
  <c r="G91" i="1"/>
  <c r="G21" i="1"/>
  <c r="E8" i="1"/>
  <c r="F10" i="1"/>
  <c r="C47" i="1"/>
  <c r="C33" i="1"/>
  <c r="C51" i="1" s="1"/>
  <c r="C49" i="1" l="1"/>
  <c r="C48" i="1"/>
  <c r="E21" i="1"/>
  <c r="E91" i="1"/>
  <c r="D53" i="1"/>
  <c r="D55" i="1"/>
  <c r="D20" i="1"/>
  <c r="F8" i="1"/>
  <c r="G10" i="1"/>
  <c r="G8" i="1" s="1"/>
  <c r="F42" i="1"/>
  <c r="G15" i="1"/>
  <c r="G13" i="1" s="1"/>
  <c r="L16" i="1"/>
  <c r="B49" i="1"/>
  <c r="B48" i="1"/>
  <c r="J4" i="1"/>
  <c r="F4" i="1"/>
  <c r="E3" i="1"/>
  <c r="E2" i="1" s="1"/>
  <c r="F54" i="1"/>
  <c r="E53" i="1" l="1"/>
  <c r="E55" i="1"/>
  <c r="E20" i="1"/>
  <c r="G42" i="1"/>
  <c r="D33" i="1"/>
  <c r="D47" i="1"/>
  <c r="G4" i="1"/>
  <c r="F3" i="1"/>
  <c r="F2" i="1" s="1"/>
  <c r="K4" i="1"/>
  <c r="G54" i="1"/>
  <c r="G3" i="1" l="1"/>
  <c r="G2" i="1" s="1"/>
  <c r="L4" i="1"/>
  <c r="F55" i="1"/>
  <c r="F20" i="1"/>
  <c r="F53" i="1"/>
  <c r="D48" i="1"/>
  <c r="D37" i="1"/>
  <c r="E47" i="1"/>
  <c r="E33" i="1"/>
  <c r="E37" i="1" l="1"/>
  <c r="E51" i="1"/>
  <c r="E48" i="1"/>
  <c r="G20" i="1"/>
  <c r="G55" i="1"/>
  <c r="G53" i="1"/>
  <c r="F47" i="1"/>
  <c r="F33" i="1"/>
  <c r="D41" i="1"/>
  <c r="D51" i="1"/>
  <c r="E41" i="1" l="1"/>
  <c r="D45" i="1"/>
  <c r="F37" i="1"/>
  <c r="F48" i="1"/>
  <c r="G33" i="1"/>
  <c r="G47" i="1"/>
  <c r="F41" i="1" l="1"/>
  <c r="E45" i="1"/>
  <c r="D46" i="1"/>
  <c r="D49" i="1"/>
  <c r="G37" i="1"/>
  <c r="F51" i="1"/>
  <c r="G48" i="1"/>
  <c r="G51" i="1" l="1"/>
  <c r="E46" i="1"/>
  <c r="E49" i="1"/>
  <c r="G41" i="1"/>
  <c r="F45" i="1"/>
  <c r="G45" i="1" l="1"/>
  <c r="F46" i="1"/>
  <c r="F49" i="1"/>
  <c r="G46" i="1" l="1"/>
  <c r="G49" i="1"/>
</calcChain>
</file>

<file path=xl/comments1.xml><?xml version="1.0" encoding="utf-8"?>
<comments xmlns="http://schemas.openxmlformats.org/spreadsheetml/2006/main">
  <authors>
    <author>Helen</author>
    <author>kersti.sannik</author>
  </authors>
  <commentList>
    <comment ref="D10" authorId="0" shapeId="0">
      <text>
        <r>
          <rPr>
            <b/>
            <sz val="9"/>
            <color indexed="81"/>
            <rFont val="Segoe UI"/>
            <family val="2"/>
            <charset val="186"/>
          </rPr>
          <t>Helen:</t>
        </r>
        <r>
          <rPr>
            <sz val="9"/>
            <color indexed="81"/>
            <rFont val="Segoe UI"/>
            <family val="2"/>
            <charset val="186"/>
          </rPr>
          <t xml:space="preserve">
2023 aasta toetusfondist lahutada asenduskodu 655 675 € ja hooldereform 378451€, matusetoetus 40 603 € ja energiatoetus 67 731€</t>
        </r>
      </text>
    </comment>
    <comment ref="A44" authorId="1" shapeId="0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sildfinantseering</t>
        </r>
      </text>
    </comment>
    <comment ref="A47" authorId="1" shapeId="0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piirmäär, millest rohkem võlakohustusi võtta ei tohi</t>
        </r>
      </text>
    </comment>
    <comment ref="A48" authorId="1" shapeId="0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 (%), millest rohkem võlakohustusi võtta ei tohi</t>
        </r>
      </text>
    </comment>
    <comment ref="A52" authorId="1" shapeId="0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laenu ei tohi rohkem võtta kui investeeringute omaosaluse katteks, osakute soetamiseks ja sihtfini ning laenu andmiseks</t>
        </r>
      </text>
    </comment>
    <comment ref="A93" authorId="1" shapeId="0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siin võivad olla ka art 4502 alt tehtavad investeeringud</t>
        </r>
      </text>
    </comment>
  </commentList>
</comments>
</file>

<file path=xl/sharedStrings.xml><?xml version="1.0" encoding="utf-8"?>
<sst xmlns="http://schemas.openxmlformats.org/spreadsheetml/2006/main" count="226" uniqueCount="140">
  <si>
    <t xml:space="preserve">2024 eelarve  </t>
  </si>
  <si>
    <t xml:space="preserve">2025 eelarve  </t>
  </si>
  <si>
    <t xml:space="preserve">2026 eelarve  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</si>
  <si>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</si>
  <si>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</si>
  <si>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</si>
  <si>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</si>
  <si>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</si>
  <si>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</si>
  <si>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</si>
  <si>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</si>
  <si>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</si>
  <si>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</si>
  <si>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</si>
  <si>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</si>
  <si>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</si>
  <si>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</si>
  <si>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</si>
  <si>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</si>
  <si>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</si>
  <si>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</si>
  <si>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</si>
  <si>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</si>
  <si>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</si>
  <si>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</si>
  <si>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</si>
  <si>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</si>
  <si>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</si>
  <si>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</si>
  <si>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</si>
  <si>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</si>
  <si>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</si>
  <si>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</si>
  <si>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</si>
  <si>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</si>
  <si>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</si>
  <si>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</si>
  <si>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</si>
  <si>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</si>
  <si>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</si>
  <si>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</si>
  <si>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</si>
  <si>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</si>
  <si>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</si>
  <si>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</si>
  <si>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t>Vaba netovõlakoormus (eurodes)</t>
  </si>
  <si>
    <t>E/a kontroll (tasakaal)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</si>
  <si>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</si>
  <si>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</si>
  <si>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</si>
  <si>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</si>
  <si>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</si>
  <si>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</si>
  <si>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</si>
  <si>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</si>
  <si>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</si>
  <si>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</si>
  <si>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</si>
  <si>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</si>
  <si>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</si>
  <si>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</si>
  <si>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</si>
  <si>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</si>
  <si>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</si>
  <si>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Põhivara soetuse kontroll</t>
  </si>
  <si>
    <t>Suuremad investeeringud nimeliselt</t>
  </si>
  <si>
    <t>03 Päästeteenused Generaatorid</t>
  </si>
  <si>
    <t>04 Teehoiukava elluviimine</t>
  </si>
  <si>
    <t>04 Kaasav eelarve</t>
  </si>
  <si>
    <t>04 Tapa linna vabadussamba rajamine</t>
  </si>
  <si>
    <t>04 Energiasäästumeetmete rakendamine munitsipaalhenetes</t>
  </si>
  <si>
    <t>06 Tänavavalgustuse rekonstrueerimine Tapa, Tamsalu</t>
  </si>
  <si>
    <t>08 Tamsalu Kultuurimaja katus</t>
  </si>
  <si>
    <t>Põhitegevustulem</t>
  </si>
  <si>
    <t>Nõuete ja kohustuste saldode muutus (+/-)</t>
  </si>
  <si>
    <t>Võlakohustused kokku aasta lõpu seisuga</t>
  </si>
  <si>
    <t xml:space="preserve">    sh kohustused, mille võrra võib ületada netovõlakoormuse piirmäära (arvestusüksuse väline)</t>
  </si>
  <si>
    <t>Netovõlakoormus (eurodes)</t>
  </si>
  <si>
    <t>Netovõlakoormus (%)</t>
  </si>
  <si>
    <t>Netovõlakoormuse ülemmäär (eurodes)</t>
  </si>
  <si>
    <t>Netovõlakoormuse ülemmäär (%)</t>
  </si>
  <si>
    <t>Tapa vald</t>
  </si>
  <si>
    <t>2022 täitmine</t>
  </si>
  <si>
    <t>2023 eeldatav täitmine</t>
  </si>
  <si>
    <t xml:space="preserve">2027 eelarve  </t>
  </si>
  <si>
    <t>Selgitused</t>
  </si>
  <si>
    <t>Ridu juurde teha ei tohi, va alumisse investeeringute tabelisse!</t>
  </si>
  <si>
    <t xml:space="preserve">2022 ja 2023 täituvad automaatselt eelarvearuande lehelt!!! </t>
  </si>
  <si>
    <t>Valemeid ei tohi üle kirjutada!</t>
  </si>
  <si>
    <t>Andruse tabelis muutsite ikka rahvaarvu jt parameetrid ära</t>
  </si>
  <si>
    <t>Muutsin elanike arvud</t>
  </si>
  <si>
    <t>matusetoetus ja energiatoetus ka maha</t>
  </si>
  <si>
    <t>2023 aasta toetusfondist lahutada asenduskodu 655 675 € ja hooldereform 378451€, matusetoetus 40 603 € ja energiatoetus 67 731€</t>
  </si>
  <si>
    <t>riigilt õppelaen, raamatud jt jooksvad toetused</t>
  </si>
  <si>
    <t xml:space="preserve">kaevandusõiguse tasu, vee erikasutus,saastetasud, trahvid 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</si>
  <si>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</si>
  <si>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r>
      <t>Siin on joosva aasta kulu, real 42 kogusumma (</t>
    </r>
    <r>
      <rPr>
        <b/>
        <u/>
        <sz val="10"/>
        <rFont val="Arial"/>
        <family val="2"/>
        <charset val="186"/>
      </rPr>
      <t>konto 913110</t>
    </r>
    <r>
      <rPr>
        <b/>
        <sz val="10"/>
        <rFont val="Arial"/>
        <family val="2"/>
        <charset val="186"/>
      </rPr>
      <t>)</t>
    </r>
  </si>
  <si>
    <t>Siin on ka reservfond</t>
  </si>
  <si>
    <t>EI TOHI OLLA NEGATIIVNE 2 A JÄRJEST. Kõigi aastate PT summa peab olema vähemalt 0.</t>
  </si>
  <si>
    <t>TÄITUB ALUMISEST TABELIST, REALT millele viitab valem</t>
  </si>
  <si>
    <t>siin ka hajaasustuse veeprogramm, mis lisada valemile plussmärgiga ja alumises tabelis mitte näidata</t>
  </si>
  <si>
    <r>
      <rPr>
        <b/>
        <sz val="10"/>
        <rFont val="Arial"/>
        <family val="2"/>
        <charset val="186"/>
      </rPr>
      <t>Teederaha siin ei näita</t>
    </r>
    <r>
      <rPr>
        <sz val="10"/>
        <rFont val="Arial"/>
        <family val="2"/>
        <charset val="186"/>
      </rPr>
      <t xml:space="preserve">, see on real 10. </t>
    </r>
  </si>
  <si>
    <t>siin näidata hajaasustus koos antava omapoolse toetusega</t>
  </si>
  <si>
    <t>sõltuvale üksusele investeeringuteks, sõltuv üksus näitab fin tehingutes</t>
  </si>
  <si>
    <t>intressid, dividendid</t>
  </si>
  <si>
    <t>laenu ei saa rohkem võtta kui investeeringuid teete, st rida24+26+28+30!!!</t>
  </si>
  <si>
    <t>ega iga aasta ju ei refinantseeri laene?</t>
  </si>
  <si>
    <t>Ei saa rohkem suunata kui reale 41 eelmisel aastal jääb.</t>
  </si>
  <si>
    <t>nt eelmisel aastal saamata jäänud PK meetme raha</t>
  </si>
  <si>
    <t>kui saadi nt katuseraha, siis võtta ülesse kohustisena riigi ees plussiga, järgmisel aastal tuleb seda vähendada miinusega</t>
  </si>
  <si>
    <t>Ei saa kunagi olla negatiivne!</t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</si>
  <si>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</si>
  <si>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</si>
  <si>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</si>
  <si>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t>kuni 2024. lõpuni kas 10-kordne põhitegevuse tulem või 80% põhitegevuse tuludest, kumb on suurem, kuid mitte rohkem kui 100%. Edaspidi hakkab vähenema 5% võrra.</t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</si>
  <si>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</si>
  <si>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peab olema 0</t>
  </si>
  <si>
    <t>Kohustiste võtmise kontroll</t>
  </si>
  <si>
    <t>peab üldjuhul olema OK. Erinevus võib tekkida nt refinantseerimisest.</t>
  </si>
  <si>
    <t>kui lisate siia tabelisse ka antavad toetused investeeringuteks (art 4502), siis tuleks selleks jagada tabeli andmed käsitsi eelarvestrateegia ridade 23/24 ja 26 vahel.</t>
  </si>
  <si>
    <t>Kuna kaotasime ära valdkonna vormi, siis on siin toodud investeeringud valdkondade kaupa</t>
  </si>
  <si>
    <t>omavahendid + laen</t>
  </si>
  <si>
    <t>02 Riigikaitse</t>
  </si>
  <si>
    <t>teederaha, mis tuleb toetusfondi kaudu, siin topelt näidata ei tohi. Kui teete nendest vahenditest investeeringuid, siis tuleb see summa tõsta omavahendite alla.</t>
  </si>
  <si>
    <t>siin võib näidata ka art 4502 alt tehtavad investeeringud</t>
  </si>
  <si>
    <t>04 Ettevõtlusala Paide mnt 85</t>
  </si>
  <si>
    <t>06 Elamumajanduse arendamine</t>
  </si>
  <si>
    <t>06 L-Virumaa kodute loomade varjupaik art 4502</t>
  </si>
  <si>
    <t>06 Hajaasustuse programm art 4502</t>
  </si>
  <si>
    <t>06 Ambla mnt 41A ja Pargi tn 23 A kruntide moodustamine ning kinnistute ostmine Maa-ametilt, taristu</t>
  </si>
  <si>
    <t>07 Investeeringutoetus Rakvere Haiglale art 4502</t>
  </si>
  <si>
    <t>08 Puhkepargid Lehtse spordiväljak MATA</t>
  </si>
  <si>
    <t xml:space="preserve">08 Puhkepargid </t>
  </si>
  <si>
    <t>08 Jäneda spordihoone energiatõhususe
parandamise projekteerimistööd</t>
  </si>
  <si>
    <t>09 Lasteaed Vikerkaar mänguväljak</t>
  </si>
  <si>
    <t>09 Tamsalu Gümnaasium kuuri lammutamine ja graaži renoveerimine</t>
  </si>
  <si>
    <t>09 Jäneda Kool kahe tuulekoja põrand ja kivisillutis koolisissepääs</t>
  </si>
  <si>
    <t xml:space="preserve">10 Eluasemeteenused sotsiaalsetele riskirühmadele UKRAINA </t>
  </si>
  <si>
    <t>Arvestusüksus (nimi)</t>
  </si>
  <si>
    <r>
      <t xml:space="preserve">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</si>
</sst>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7">
    <font>
      <sz val="12"/>
      <color theme="1"/>
      <name val="Calibri"/>
      <family val="2"/>
      <charset val="238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186"/>
    </font>
    <font>
      <sz val="10"/>
      <name val="Times New Roman"/>
      <family val="1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b/>
      <sz val="10"/>
      <name val="Arial"/>
      <family val="2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b/>
      <u/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theme="1"/>
      <name val="Arial1"/>
      <charset val="186"/>
    </font>
    <font>
      <b/>
      <sz val="10"/>
      <color indexed="10"/>
      <name val="Arial"/>
      <family val="2"/>
      <charset val="186"/>
    </font>
    <font>
      <sz val="8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373A3C"/>
      <name val="Arial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color theme="0"/>
      <name val="Arial"/>
      <family val="2"/>
      <charset val="186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40">
    <xf numFmtId="0" fontId="0" fillId="0" borderId="0"/>
    <xf numFmtId="0" fontId="4" fillId="0" borderId="0"/>
    <xf numFmtId="0" fontId="4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57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3" fillId="0" borderId="0" xfId="0" applyFont="1"/>
    <xf numFmtId="0" fontId="1" fillId="0" borderId="0" xfId="0" applyFont="1" applyAlignment="1">
      <alignment wrapText="1"/>
    </xf>
    <xf numFmtId="3" fontId="3" fillId="6" borderId="10" xfId="0" applyNumberFormat="1" applyFont="1" applyFill="1" applyBorder="1" applyAlignment="1">
      <alignment horizontal="right"/>
    </xf>
    <xf numFmtId="10" fontId="0" fillId="0" borderId="0" xfId="0" applyNumberFormat="1"/>
    <xf numFmtId="0" fontId="1" fillId="12" borderId="1" xfId="0" applyFont="1" applyFill="1" applyBorder="1" applyAlignment="1">
      <alignment horizontal="center" wrapText="1"/>
    </xf>
    <xf numFmtId="0" fontId="7" fillId="12" borderId="2" xfId="0" applyFont="1" applyFill="1" applyBorder="1" applyAlignment="1">
      <alignment horizontal="center" wrapText="1"/>
    </xf>
    <xf numFmtId="0" fontId="7" fillId="12" borderId="1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7" fillId="13" borderId="0" xfId="0" applyFont="1" applyFill="1" applyAlignment="1">
      <alignment horizontal="center" wrapText="1"/>
    </xf>
    <xf numFmtId="0" fontId="7" fillId="0" borderId="3" xfId="0" applyFont="1" applyBorder="1" applyAlignment="1">
      <alignment horizontal="left"/>
    </xf>
    <xf numFmtId="3" fontId="1" fillId="9" borderId="14" xfId="0" applyNumberFormat="1" applyFont="1" applyFill="1" applyBorder="1" applyAlignment="1">
      <alignment horizontal="right" wrapText="1"/>
    </xf>
    <xf numFmtId="3" fontId="1" fillId="9" borderId="15" xfId="0" applyNumberFormat="1" applyFont="1" applyFill="1" applyBorder="1" applyAlignment="1">
      <alignment horizontal="right" wrapText="1"/>
    </xf>
    <xf numFmtId="0" fontId="9" fillId="0" borderId="0" xfId="0" applyFont="1"/>
    <xf numFmtId="0" fontId="10" fillId="0" borderId="4" xfId="0" applyFont="1" applyBorder="1" applyAlignment="1">
      <alignment horizontal="left"/>
    </xf>
    <xf numFmtId="3" fontId="11" fillId="9" borderId="16" xfId="0" applyNumberFormat="1" applyFont="1" applyFill="1" applyBorder="1" applyAlignment="1">
      <alignment wrapText="1"/>
    </xf>
    <xf numFmtId="3" fontId="11" fillId="9" borderId="17" xfId="0" applyNumberFormat="1" applyFont="1" applyFill="1" applyBorder="1" applyAlignment="1">
      <alignment wrapText="1"/>
    </xf>
    <xf numFmtId="3" fontId="3" fillId="5" borderId="18" xfId="0" applyNumberFormat="1" applyFont="1" applyFill="1" applyBorder="1" applyAlignment="1">
      <alignment wrapText="1"/>
    </xf>
    <xf numFmtId="3" fontId="3" fillId="0" borderId="16" xfId="0" applyNumberFormat="1" applyFont="1" applyBorder="1"/>
    <xf numFmtId="3" fontId="3" fillId="0" borderId="17" xfId="0" applyNumberFormat="1" applyFont="1" applyBorder="1"/>
    <xf numFmtId="3" fontId="11" fillId="5" borderId="18" xfId="0" applyNumberFormat="1" applyFont="1" applyFill="1" applyBorder="1" applyAlignment="1">
      <alignment wrapText="1"/>
    </xf>
    <xf numFmtId="3" fontId="11" fillId="9" borderId="18" xfId="0" applyNumberFormat="1" applyFont="1" applyFill="1" applyBorder="1" applyAlignment="1">
      <alignment wrapText="1"/>
    </xf>
    <xf numFmtId="3" fontId="3" fillId="3" borderId="16" xfId="0" applyNumberFormat="1" applyFont="1" applyFill="1" applyBorder="1"/>
    <xf numFmtId="0" fontId="0" fillId="4" borderId="0" xfId="0" applyFill="1"/>
    <xf numFmtId="0" fontId="0" fillId="8" borderId="0" xfId="0" applyFill="1"/>
    <xf numFmtId="0" fontId="9" fillId="4" borderId="0" xfId="0" applyFont="1" applyFill="1"/>
    <xf numFmtId="0" fontId="7" fillId="0" borderId="4" xfId="0" applyFont="1" applyBorder="1" applyAlignment="1">
      <alignment horizontal="left"/>
    </xf>
    <xf numFmtId="3" fontId="1" fillId="9" borderId="18" xfId="0" applyNumberFormat="1" applyFont="1" applyFill="1" applyBorder="1" applyAlignment="1">
      <alignment wrapText="1"/>
    </xf>
    <xf numFmtId="3" fontId="1" fillId="9" borderId="16" xfId="0" applyNumberFormat="1" applyFont="1" applyFill="1" applyBorder="1" applyAlignment="1">
      <alignment wrapText="1"/>
    </xf>
    <xf numFmtId="3" fontId="1" fillId="9" borderId="17" xfId="0" applyNumberFormat="1" applyFont="1" applyFill="1" applyBorder="1" applyAlignment="1">
      <alignment wrapText="1"/>
    </xf>
    <xf numFmtId="3" fontId="11" fillId="11" borderId="18" xfId="0" applyNumberFormat="1" applyFont="1" applyFill="1" applyBorder="1" applyAlignment="1">
      <alignment wrapText="1"/>
    </xf>
    <xf numFmtId="3" fontId="11" fillId="11" borderId="17" xfId="0" applyNumberFormat="1" applyFont="1" applyFill="1" applyBorder="1" applyAlignment="1">
      <alignment wrapText="1"/>
    </xf>
    <xf numFmtId="0" fontId="12" fillId="10" borderId="4" xfId="0" applyFont="1" applyFill="1" applyBorder="1" applyAlignment="1">
      <alignment horizontal="left"/>
    </xf>
    <xf numFmtId="3" fontId="11" fillId="10" borderId="18" xfId="0" applyNumberFormat="1" applyFont="1" applyFill="1" applyBorder="1" applyAlignment="1">
      <alignment wrapText="1"/>
    </xf>
    <xf numFmtId="3" fontId="3" fillId="10" borderId="16" xfId="0" applyNumberFormat="1" applyFont="1" applyFill="1" applyBorder="1"/>
    <xf numFmtId="3" fontId="3" fillId="10" borderId="17" xfId="0" applyNumberFormat="1" applyFont="1" applyFill="1" applyBorder="1"/>
    <xf numFmtId="0" fontId="7" fillId="10" borderId="0" xfId="0" applyFont="1" applyFill="1"/>
    <xf numFmtId="0" fontId="7" fillId="0" borderId="0" xfId="0" applyFont="1"/>
    <xf numFmtId="0" fontId="7" fillId="12" borderId="5" xfId="0" applyFont="1" applyFill="1" applyBorder="1" applyAlignment="1">
      <alignment horizontal="left"/>
    </xf>
    <xf numFmtId="3" fontId="7" fillId="12" borderId="18" xfId="0" applyNumberFormat="1" applyFont="1" applyFill="1" applyBorder="1" applyAlignment="1">
      <alignment wrapText="1"/>
    </xf>
    <xf numFmtId="3" fontId="7" fillId="12" borderId="16" xfId="0" applyNumberFormat="1" applyFont="1" applyFill="1" applyBorder="1" applyAlignment="1">
      <alignment wrapText="1"/>
    </xf>
    <xf numFmtId="3" fontId="7" fillId="12" borderId="17" xfId="0" applyNumberFormat="1" applyFont="1" applyFill="1" applyBorder="1" applyAlignment="1">
      <alignment wrapText="1"/>
    </xf>
    <xf numFmtId="0" fontId="7" fillId="0" borderId="19" xfId="0" applyFont="1" applyBorder="1" applyAlignment="1">
      <alignment horizontal="left" wrapText="1"/>
    </xf>
    <xf numFmtId="3" fontId="7" fillId="9" borderId="18" xfId="0" applyNumberFormat="1" applyFont="1" applyFill="1" applyBorder="1" applyAlignment="1">
      <alignment wrapText="1"/>
    </xf>
    <xf numFmtId="3" fontId="7" fillId="9" borderId="17" xfId="0" applyNumberFormat="1" applyFont="1" applyFill="1" applyBorder="1" applyAlignment="1">
      <alignment wrapText="1"/>
    </xf>
    <xf numFmtId="0" fontId="10" fillId="0" borderId="19" xfId="0" applyFont="1" applyBorder="1" applyAlignment="1">
      <alignment horizontal="left" wrapText="1"/>
    </xf>
    <xf numFmtId="3" fontId="0" fillId="0" borderId="0" xfId="0" applyNumberFormat="1"/>
    <xf numFmtId="3" fontId="11" fillId="6" borderId="18" xfId="0" applyNumberFormat="1" applyFont="1" applyFill="1" applyBorder="1" applyAlignment="1">
      <alignment wrapText="1"/>
    </xf>
    <xf numFmtId="3" fontId="3" fillId="3" borderId="17" xfId="0" applyNumberFormat="1" applyFont="1" applyFill="1" applyBorder="1"/>
    <xf numFmtId="49" fontId="12" fillId="0" borderId="19" xfId="0" applyNumberFormat="1" applyFont="1" applyBorder="1" applyAlignment="1">
      <alignment horizontal="left" wrapText="1"/>
    </xf>
    <xf numFmtId="3" fontId="3" fillId="6" borderId="16" xfId="0" applyNumberFormat="1" applyFont="1" applyFill="1" applyBorder="1"/>
    <xf numFmtId="0" fontId="15" fillId="0" borderId="19" xfId="0" applyFont="1" applyBorder="1" applyAlignment="1">
      <alignment horizontal="left" wrapText="1"/>
    </xf>
    <xf numFmtId="9" fontId="3" fillId="0" borderId="0" xfId="0" applyNumberFormat="1" applyFont="1"/>
    <xf numFmtId="0" fontId="10" fillId="0" borderId="19" xfId="1" applyFont="1" applyBorder="1"/>
    <xf numFmtId="9" fontId="0" fillId="0" borderId="0" xfId="0" applyNumberFormat="1"/>
    <xf numFmtId="0" fontId="10" fillId="0" borderId="5" xfId="0" applyFont="1" applyBorder="1" applyAlignment="1">
      <alignment horizontal="left"/>
    </xf>
    <xf numFmtId="3" fontId="11" fillId="5" borderId="20" xfId="0" applyNumberFormat="1" applyFont="1" applyFill="1" applyBorder="1" applyAlignment="1">
      <alignment wrapText="1"/>
    </xf>
    <xf numFmtId="3" fontId="4" fillId="0" borderId="16" xfId="1" applyNumberFormat="1" applyBorder="1"/>
    <xf numFmtId="0" fontId="10" fillId="0" borderId="6" xfId="0" applyFont="1" applyBorder="1" applyAlignment="1">
      <alignment horizontal="left" wrapText="1"/>
    </xf>
    <xf numFmtId="3" fontId="11" fillId="5" borderId="7" xfId="0" applyNumberFormat="1" applyFont="1" applyFill="1" applyBorder="1" applyAlignment="1">
      <alignment wrapText="1"/>
    </xf>
    <xf numFmtId="0" fontId="1" fillId="0" borderId="19" xfId="0" applyFont="1" applyBorder="1" applyAlignment="1">
      <alignment horizontal="left" wrapText="1"/>
    </xf>
    <xf numFmtId="3" fontId="7" fillId="9" borderId="16" xfId="0" applyNumberFormat="1" applyFont="1" applyFill="1" applyBorder="1" applyAlignment="1">
      <alignment wrapText="1"/>
    </xf>
    <xf numFmtId="0" fontId="2" fillId="0" borderId="19" xfId="0" applyFont="1" applyBorder="1"/>
    <xf numFmtId="0" fontId="7" fillId="3" borderId="0" xfId="0" applyFont="1" applyFill="1"/>
    <xf numFmtId="0" fontId="1" fillId="3" borderId="0" xfId="0" applyFont="1" applyFill="1"/>
    <xf numFmtId="0" fontId="0" fillId="3" borderId="0" xfId="0" applyFill="1"/>
    <xf numFmtId="0" fontId="1" fillId="0" borderId="19" xfId="0" applyFont="1" applyBorder="1" applyAlignment="1">
      <alignment wrapText="1"/>
    </xf>
    <xf numFmtId="3" fontId="3" fillId="9" borderId="16" xfId="0" applyNumberFormat="1" applyFont="1" applyFill="1" applyBorder="1" applyAlignment="1">
      <alignment wrapText="1"/>
    </xf>
    <xf numFmtId="3" fontId="3" fillId="9" borderId="17" xfId="0" applyNumberFormat="1" applyFont="1" applyFill="1" applyBorder="1" applyAlignment="1">
      <alignment wrapText="1"/>
    </xf>
    <xf numFmtId="0" fontId="10" fillId="0" borderId="19" xfId="0" applyFont="1" applyBorder="1" applyAlignment="1">
      <alignment wrapText="1"/>
    </xf>
    <xf numFmtId="3" fontId="16" fillId="0" borderId="8" xfId="0" applyNumberFormat="1" applyFont="1" applyBorder="1"/>
    <xf numFmtId="3" fontId="16" fillId="0" borderId="9" xfId="0" applyNumberFormat="1" applyFont="1" applyBorder="1"/>
    <xf numFmtId="0" fontId="10" fillId="0" borderId="5" xfId="0" applyFont="1" applyBorder="1"/>
    <xf numFmtId="3" fontId="3" fillId="5" borderId="18" xfId="0" applyNumberFormat="1" applyFont="1" applyFill="1" applyBorder="1"/>
    <xf numFmtId="0" fontId="1" fillId="12" borderId="19" xfId="0" applyFont="1" applyFill="1" applyBorder="1"/>
    <xf numFmtId="3" fontId="1" fillId="12" borderId="18" xfId="0" applyNumberFormat="1" applyFont="1" applyFill="1" applyBorder="1" applyAlignment="1">
      <alignment wrapText="1"/>
    </xf>
    <xf numFmtId="3" fontId="7" fillId="12" borderId="16" xfId="0" applyNumberFormat="1" applyFont="1" applyFill="1" applyBorder="1"/>
    <xf numFmtId="3" fontId="7" fillId="12" borderId="17" xfId="0" applyNumberFormat="1" applyFont="1" applyFill="1" applyBorder="1"/>
    <xf numFmtId="0" fontId="7" fillId="4" borderId="0" xfId="0" applyFont="1" applyFill="1"/>
    <xf numFmtId="3" fontId="3" fillId="6" borderId="17" xfId="0" applyNumberFormat="1" applyFont="1" applyFill="1" applyBorder="1"/>
    <xf numFmtId="0" fontId="10" fillId="0" borderId="21" xfId="0" applyFont="1" applyBorder="1" applyAlignment="1">
      <alignment wrapText="1"/>
    </xf>
    <xf numFmtId="3" fontId="3" fillId="5" borderId="11" xfId="0" applyNumberFormat="1" applyFont="1" applyFill="1" applyBorder="1" applyAlignment="1">
      <alignment horizontal="right"/>
    </xf>
    <xf numFmtId="3" fontId="3" fillId="0" borderId="22" xfId="0" applyNumberFormat="1" applyFont="1" applyBorder="1"/>
    <xf numFmtId="0" fontId="7" fillId="0" borderId="19" xfId="0" applyFont="1" applyBorder="1" applyAlignment="1">
      <alignment wrapText="1"/>
    </xf>
    <xf numFmtId="164" fontId="2" fillId="9" borderId="18" xfId="0" applyNumberFormat="1" applyFont="1" applyFill="1" applyBorder="1" applyAlignment="1">
      <alignment wrapText="1"/>
    </xf>
    <xf numFmtId="164" fontId="2" fillId="9" borderId="16" xfId="0" applyNumberFormat="1" applyFont="1" applyFill="1" applyBorder="1" applyAlignment="1">
      <alignment wrapText="1"/>
    </xf>
    <xf numFmtId="164" fontId="2" fillId="9" borderId="17" xfId="0" applyNumberFormat="1" applyFont="1" applyFill="1" applyBorder="1" applyAlignment="1">
      <alignment wrapText="1"/>
    </xf>
    <xf numFmtId="0" fontId="3" fillId="4" borderId="0" xfId="0" applyFont="1" applyFill="1"/>
    <xf numFmtId="3" fontId="11" fillId="4" borderId="18" xfId="0" applyNumberFormat="1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10" fontId="11" fillId="0" borderId="18" xfId="0" applyNumberFormat="1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17" fillId="0" borderId="23" xfId="0" applyFont="1" applyBorder="1" applyAlignment="1">
      <alignment wrapText="1"/>
    </xf>
    <xf numFmtId="3" fontId="17" fillId="9" borderId="24" xfId="0" applyNumberFormat="1" applyFont="1" applyFill="1" applyBorder="1" applyAlignment="1">
      <alignment wrapText="1"/>
    </xf>
    <xf numFmtId="3" fontId="17" fillId="9" borderId="25" xfId="0" applyNumberFormat="1" applyFont="1" applyFill="1" applyBorder="1" applyAlignment="1">
      <alignment wrapText="1"/>
    </xf>
    <xf numFmtId="0" fontId="17" fillId="0" borderId="0" xfId="0" applyFont="1"/>
    <xf numFmtId="0" fontId="18" fillId="0" borderId="0" xfId="0" applyFont="1" applyAlignment="1">
      <alignment wrapText="1"/>
    </xf>
    <xf numFmtId="3" fontId="18" fillId="0" borderId="0" xfId="0" applyNumberFormat="1" applyFont="1" applyAlignment="1">
      <alignment horizontal="right" wrapText="1"/>
    </xf>
    <xf numFmtId="0" fontId="10" fillId="0" borderId="0" xfId="0" applyFont="1"/>
    <xf numFmtId="0" fontId="18" fillId="0" borderId="0" xfId="0" applyFont="1"/>
    <xf numFmtId="0" fontId="3" fillId="0" borderId="16" xfId="0" applyFont="1" applyBorder="1" applyAlignment="1">
      <alignment wrapText="1"/>
    </xf>
    <xf numFmtId="3" fontId="10" fillId="0" borderId="16" xfId="0" applyNumberFormat="1" applyFont="1" applyBorder="1" applyAlignment="1">
      <alignment horizontal="center" wrapText="1"/>
    </xf>
    <xf numFmtId="9" fontId="10" fillId="0" borderId="16" xfId="0" applyNumberFormat="1" applyFont="1" applyBorder="1" applyAlignment="1">
      <alignment wrapText="1"/>
    </xf>
    <xf numFmtId="4" fontId="10" fillId="0" borderId="16" xfId="0" applyNumberFormat="1" applyFont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7" fillId="0" borderId="19" xfId="2" applyFont="1" applyBorder="1"/>
    <xf numFmtId="3" fontId="7" fillId="5" borderId="16" xfId="0" applyNumberFormat="1" applyFont="1" applyFill="1" applyBorder="1"/>
    <xf numFmtId="3" fontId="7" fillId="5" borderId="17" xfId="0" applyNumberFormat="1" applyFont="1" applyFill="1" applyBorder="1"/>
    <xf numFmtId="0" fontId="12" fillId="0" borderId="19" xfId="0" applyFont="1" applyBorder="1" applyAlignment="1">
      <alignment wrapText="1"/>
    </xf>
    <xf numFmtId="0" fontId="7" fillId="7" borderId="19" xfId="0" applyFont="1" applyFill="1" applyBorder="1" applyAlignment="1">
      <alignment wrapText="1"/>
    </xf>
    <xf numFmtId="3" fontId="7" fillId="7" borderId="16" xfId="0" applyNumberFormat="1" applyFont="1" applyFill="1" applyBorder="1"/>
    <xf numFmtId="3" fontId="7" fillId="7" borderId="17" xfId="0" applyNumberFormat="1" applyFont="1" applyFill="1" applyBorder="1"/>
    <xf numFmtId="3" fontId="3" fillId="0" borderId="0" xfId="0" applyNumberFormat="1" applyFont="1"/>
    <xf numFmtId="0" fontId="12" fillId="0" borderId="23" xfId="0" applyFont="1" applyBorder="1" applyAlignment="1">
      <alignment wrapText="1"/>
    </xf>
    <xf numFmtId="3" fontId="3" fillId="5" borderId="24" xfId="0" applyNumberFormat="1" applyFont="1" applyFill="1" applyBorder="1"/>
    <xf numFmtId="3" fontId="3" fillId="6" borderId="24" xfId="0" applyNumberFormat="1" applyFont="1" applyFill="1" applyBorder="1"/>
    <xf numFmtId="0" fontId="19" fillId="0" borderId="12" xfId="0" applyFont="1" applyBorder="1"/>
    <xf numFmtId="3" fontId="20" fillId="4" borderId="0" xfId="0" applyNumberFormat="1" applyFont="1" applyFill="1"/>
    <xf numFmtId="3" fontId="20" fillId="0" borderId="0" xfId="0" applyNumberFormat="1" applyFont="1"/>
    <xf numFmtId="0" fontId="1" fillId="0" borderId="16" xfId="0" applyFont="1" applyBorder="1"/>
    <xf numFmtId="0" fontId="0" fillId="6" borderId="16" xfId="0" applyFill="1" applyBorder="1"/>
    <xf numFmtId="3" fontId="0" fillId="0" borderId="16" xfId="0" applyNumberFormat="1" applyBorder="1"/>
    <xf numFmtId="0" fontId="1" fillId="0" borderId="19" xfId="2" applyFont="1" applyBorder="1"/>
    <xf numFmtId="0" fontId="1" fillId="0" borderId="19" xfId="3" applyFont="1" applyBorder="1" applyAlignment="1">
      <alignment wrapText="1"/>
    </xf>
    <xf numFmtId="3" fontId="0" fillId="3" borderId="16" xfId="0" applyNumberFormat="1" applyFill="1" applyBorder="1"/>
    <xf numFmtId="0" fontId="1" fillId="0" borderId="19" xfId="2" applyFont="1" applyBorder="1" applyAlignment="1">
      <alignment wrapText="1"/>
    </xf>
    <xf numFmtId="0" fontId="21" fillId="0" borderId="0" xfId="0" applyFont="1" applyAlignment="1">
      <alignment wrapText="1"/>
    </xf>
    <xf numFmtId="0" fontId="1" fillId="2" borderId="26" xfId="0" applyFont="1" applyFill="1" applyBorder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19" xfId="0" applyFont="1" applyBorder="1" applyAlignment="1">
      <alignment horizontal="left" vertical="center"/>
    </xf>
    <xf numFmtId="3" fontId="1" fillId="9" borderId="16" xfId="0" applyNumberFormat="1" applyFont="1" applyFill="1" applyBorder="1" applyAlignment="1">
      <alignment horizontal="right" wrapText="1"/>
    </xf>
    <xf numFmtId="3" fontId="1" fillId="9" borderId="17" xfId="0" applyNumberFormat="1" applyFont="1" applyFill="1" applyBorder="1" applyAlignment="1">
      <alignment horizontal="right" wrapText="1"/>
    </xf>
    <xf numFmtId="0" fontId="12" fillId="10" borderId="4" xfId="0" applyFont="1" applyFill="1" applyBorder="1" applyAlignment="1">
      <alignment horizontal="left" vertical="center"/>
    </xf>
    <xf numFmtId="3" fontId="1" fillId="10" borderId="16" xfId="0" applyNumberFormat="1" applyFont="1" applyFill="1" applyBorder="1" applyAlignment="1">
      <alignment wrapText="1"/>
    </xf>
    <xf numFmtId="3" fontId="1" fillId="10" borderId="17" xfId="0" applyNumberFormat="1" applyFont="1" applyFill="1" applyBorder="1" applyAlignment="1">
      <alignment wrapText="1"/>
    </xf>
    <xf numFmtId="0" fontId="0" fillId="0" borderId="19" xfId="0" applyBorder="1"/>
    <xf numFmtId="0" fontId="0" fillId="9" borderId="16" xfId="0" applyFill="1" applyBorder="1"/>
    <xf numFmtId="0" fontId="3" fillId="9" borderId="17" xfId="0" applyFont="1" applyFill="1" applyBorder="1"/>
    <xf numFmtId="3" fontId="1" fillId="9" borderId="16" xfId="0" applyNumberFormat="1" applyFont="1" applyFill="1" applyBorder="1"/>
    <xf numFmtId="3" fontId="7" fillId="9" borderId="17" xfId="0" applyNumberFormat="1" applyFont="1" applyFill="1" applyBorder="1"/>
    <xf numFmtId="0" fontId="1" fillId="0" borderId="19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164" fontId="11" fillId="9" borderId="16" xfId="0" applyNumberFormat="1" applyFont="1" applyFill="1" applyBorder="1" applyAlignment="1">
      <alignment wrapText="1"/>
    </xf>
    <xf numFmtId="164" fontId="3" fillId="9" borderId="17" xfId="0" applyNumberFormat="1" applyFont="1" applyFill="1" applyBorder="1" applyAlignment="1">
      <alignment wrapText="1"/>
    </xf>
    <xf numFmtId="3" fontId="3" fillId="11" borderId="27" xfId="0" applyNumberFormat="1" applyFont="1" applyFill="1" applyBorder="1" applyAlignment="1">
      <alignment wrapText="1"/>
    </xf>
    <xf numFmtId="3" fontId="26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164" fontId="3" fillId="9" borderId="16" xfId="0" applyNumberFormat="1" applyFont="1" applyFill="1" applyBorder="1" applyAlignment="1">
      <alignment wrapText="1"/>
    </xf>
    <xf numFmtId="0" fontId="7" fillId="0" borderId="23" xfId="0" applyFont="1" applyBorder="1" applyAlignment="1">
      <alignment wrapText="1"/>
    </xf>
    <xf numFmtId="3" fontId="3" fillId="9" borderId="24" xfId="0" applyNumberFormat="1" applyFont="1" applyFill="1" applyBorder="1" applyAlignment="1">
      <alignment wrapText="1"/>
    </xf>
    <xf numFmtId="3" fontId="3" fillId="9" borderId="25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340">
    <cellStyle name="Hüperlink" xfId="4" builtinId="8" hidden="1"/>
    <cellStyle name="Hüperlink" xfId="6" builtinId="8" hidden="1"/>
    <cellStyle name="Hüperlink" xfId="8" builtinId="8" hidden="1"/>
    <cellStyle name="Hüperlink" xfId="10" builtinId="8" hidden="1"/>
    <cellStyle name="Hüperlink" xfId="12" builtinId="8" hidden="1"/>
    <cellStyle name="Hüperlink" xfId="14" builtinId="8" hidden="1"/>
    <cellStyle name="Hüperlink" xfId="16" builtinId="8" hidden="1"/>
    <cellStyle name="Hüperlink" xfId="18" builtinId="8" hidden="1"/>
    <cellStyle name="Hüperlink" xfId="20" builtinId="8" hidden="1"/>
    <cellStyle name="Hüperlink" xfId="22" builtinId="8" hidden="1"/>
    <cellStyle name="Hüperlink" xfId="24" builtinId="8" hidden="1"/>
    <cellStyle name="Hüperlink" xfId="26" builtinId="8" hidden="1"/>
    <cellStyle name="Hüperlink" xfId="28" builtinId="8" hidden="1"/>
    <cellStyle name="Hüperlink" xfId="30" builtinId="8" hidden="1"/>
    <cellStyle name="Hüperlink" xfId="32" builtinId="8" hidden="1"/>
    <cellStyle name="Hüperlink" xfId="34" builtinId="8" hidden="1"/>
    <cellStyle name="Hüperlink" xfId="36" builtinId="8" hidden="1"/>
    <cellStyle name="Hüperlink" xfId="38" builtinId="8" hidden="1"/>
    <cellStyle name="Hüperlink" xfId="40" builtinId="8" hidden="1"/>
    <cellStyle name="Hüperlink" xfId="42" builtinId="8" hidden="1"/>
    <cellStyle name="Hüperlink" xfId="44" builtinId="8" hidden="1"/>
    <cellStyle name="Hüperlink" xfId="46" builtinId="8" hidden="1"/>
    <cellStyle name="Hüperlink" xfId="48" builtinId="8" hidden="1"/>
    <cellStyle name="Hüperlink" xfId="50" builtinId="8" hidden="1"/>
    <cellStyle name="Hüperlink" xfId="52" builtinId="8" hidden="1"/>
    <cellStyle name="Hüperlink" xfId="54" builtinId="8" hidden="1"/>
    <cellStyle name="Hüperlink" xfId="56" builtinId="8" hidden="1"/>
    <cellStyle name="Hüperlink" xfId="58" builtinId="8" hidden="1"/>
    <cellStyle name="Hüperlink" xfId="60" builtinId="8" hidden="1"/>
    <cellStyle name="Hüperlink" xfId="62" builtinId="8" hidden="1"/>
    <cellStyle name="Hüperlink" xfId="64" builtinId="8" hidden="1"/>
    <cellStyle name="Hüperlink" xfId="66" builtinId="8" hidden="1"/>
    <cellStyle name="Hüperlink" xfId="68" builtinId="8" hidden="1"/>
    <cellStyle name="Hüperlink" xfId="70" builtinId="8" hidden="1"/>
    <cellStyle name="Hüperlink" xfId="72" builtinId="8" hidden="1"/>
    <cellStyle name="Hüperlink" xfId="74" builtinId="8" hidden="1"/>
    <cellStyle name="Hüperlink" xfId="76" builtinId="8" hidden="1"/>
    <cellStyle name="Hüperlink" xfId="78" builtinId="8" hidden="1"/>
    <cellStyle name="Hüperlink" xfId="80" builtinId="8" hidden="1"/>
    <cellStyle name="Hüperlink" xfId="82" builtinId="8" hidden="1"/>
    <cellStyle name="Hüperlink" xfId="84" builtinId="8" hidden="1"/>
    <cellStyle name="Hüperlink" xfId="86" builtinId="8" hidden="1"/>
    <cellStyle name="Hüperlink" xfId="88" builtinId="8" hidden="1"/>
    <cellStyle name="Hüperlink" xfId="90" builtinId="8" hidden="1"/>
    <cellStyle name="Hüperlink" xfId="92" builtinId="8" hidden="1"/>
    <cellStyle name="Hüperlink" xfId="94" builtinId="8" hidden="1"/>
    <cellStyle name="Hüperlink" xfId="96" builtinId="8" hidden="1"/>
    <cellStyle name="Hüperlink" xfId="98" builtinId="8" hidden="1"/>
    <cellStyle name="Hüperlink" xfId="100" builtinId="8" hidden="1"/>
    <cellStyle name="Hüperlink" xfId="102" builtinId="8" hidden="1"/>
    <cellStyle name="Hüperlink" xfId="104" builtinId="8" hidden="1"/>
    <cellStyle name="Hüperlink" xfId="106" builtinId="8" hidden="1"/>
    <cellStyle name="Hüperlink" xfId="108" builtinId="8" hidden="1"/>
    <cellStyle name="Hüperlink" xfId="110" builtinId="8" hidden="1"/>
    <cellStyle name="Hüperlink" xfId="112" builtinId="8" hidden="1"/>
    <cellStyle name="Hüperlink" xfId="114" builtinId="8" hidden="1"/>
    <cellStyle name="Hüperlink" xfId="116" builtinId="8" hidden="1"/>
    <cellStyle name="Hüperlink" xfId="118" builtinId="8" hidden="1"/>
    <cellStyle name="Hüperlink" xfId="120" builtinId="8" hidden="1"/>
    <cellStyle name="Hüperlink" xfId="122" builtinId="8" hidden="1"/>
    <cellStyle name="Hüperlink" xfId="124" builtinId="8" hidden="1"/>
    <cellStyle name="Hüperlink" xfId="126" builtinId="8" hidden="1"/>
    <cellStyle name="Hüperlink" xfId="128" builtinId="8" hidden="1"/>
    <cellStyle name="Hüperlink" xfId="130" builtinId="8" hidden="1"/>
    <cellStyle name="Hüperlink" xfId="132" builtinId="8" hidden="1"/>
    <cellStyle name="Hüperlink" xfId="134" builtinId="8" hidden="1"/>
    <cellStyle name="Hüperlink" xfId="136" builtinId="8" hidden="1"/>
    <cellStyle name="Hüperlink" xfId="138" builtinId="8" hidden="1"/>
    <cellStyle name="Hüperlink" xfId="140" builtinId="8" hidden="1"/>
    <cellStyle name="Hüperlink" xfId="142" builtinId="8" hidden="1"/>
    <cellStyle name="Hüperlink" xfId="144" builtinId="8" hidden="1"/>
    <cellStyle name="Hüperlink" xfId="146" builtinId="8" hidden="1"/>
    <cellStyle name="Hüperlink" xfId="148" builtinId="8" hidden="1"/>
    <cellStyle name="Hüperlink" xfId="150" builtinId="8" hidden="1"/>
    <cellStyle name="Hüperlink" xfId="152" builtinId="8" hidden="1"/>
    <cellStyle name="Hüperlink" xfId="154" builtinId="8" hidden="1"/>
    <cellStyle name="Hüperlink" xfId="156" builtinId="8" hidden="1"/>
    <cellStyle name="Hüperlink" xfId="158" builtinId="8" hidden="1"/>
    <cellStyle name="Hüperlink" xfId="160" builtinId="8" hidden="1"/>
    <cellStyle name="Hüperlink" xfId="162" builtinId="8" hidden="1"/>
    <cellStyle name="Hüperlink" xfId="164" builtinId="8" hidden="1"/>
    <cellStyle name="Hüperlink" xfId="166" builtinId="8" hidden="1"/>
    <cellStyle name="Hüperlink" xfId="168" builtinId="8" hidden="1"/>
    <cellStyle name="Hüperlink" xfId="170" builtinId="8" hidden="1"/>
    <cellStyle name="Hüperlink" xfId="172" builtinId="8" hidden="1"/>
    <cellStyle name="Hüperlink" xfId="174" builtinId="8" hidden="1"/>
    <cellStyle name="Hüperlink" xfId="176" builtinId="8" hidden="1"/>
    <cellStyle name="Hüperlink" xfId="178" builtinId="8" hidden="1"/>
    <cellStyle name="Hüperlink" xfId="180" builtinId="8" hidden="1"/>
    <cellStyle name="Hüperlink" xfId="182" builtinId="8" hidden="1"/>
    <cellStyle name="Hüperlink" xfId="184" builtinId="8" hidden="1"/>
    <cellStyle name="Hüperlink" xfId="186" builtinId="8" hidden="1"/>
    <cellStyle name="Hüperlink" xfId="188" builtinId="8" hidden="1"/>
    <cellStyle name="Hüperlink" xfId="190" builtinId="8" hidden="1"/>
    <cellStyle name="Hüperlink" xfId="192" builtinId="8" hidden="1"/>
    <cellStyle name="Hüperlink" xfId="194" builtinId="8" hidden="1"/>
    <cellStyle name="Hüperlink" xfId="196" builtinId="8" hidden="1"/>
    <cellStyle name="Hüperlink" xfId="198" builtinId="8" hidden="1"/>
    <cellStyle name="Hüperlink" xfId="200" builtinId="8" hidden="1"/>
    <cellStyle name="Hüperlink" xfId="202" builtinId="8" hidden="1"/>
    <cellStyle name="Hüperlink" xfId="204" builtinId="8" hidden="1"/>
    <cellStyle name="Hüperlink" xfId="206" builtinId="8" hidden="1"/>
    <cellStyle name="Hüperlink" xfId="208" builtinId="8" hidden="1"/>
    <cellStyle name="Hüperlink" xfId="210" builtinId="8" hidden="1"/>
    <cellStyle name="Hüperlink" xfId="212" builtinId="8" hidden="1"/>
    <cellStyle name="Hüperlink" xfId="214" builtinId="8" hidden="1"/>
    <cellStyle name="Hüperlink" xfId="216" builtinId="8" hidden="1"/>
    <cellStyle name="Hüperlink" xfId="218" builtinId="8" hidden="1"/>
    <cellStyle name="Hüperlink" xfId="220" builtinId="8" hidden="1"/>
    <cellStyle name="Hüperlink" xfId="222" builtinId="8" hidden="1"/>
    <cellStyle name="Hüperlink" xfId="224" builtinId="8" hidden="1"/>
    <cellStyle name="Hüperlink" xfId="226" builtinId="8" hidden="1"/>
    <cellStyle name="Hüperlink" xfId="228" builtinId="8" hidden="1"/>
    <cellStyle name="Hüperlink" xfId="230" builtinId="8" hidden="1"/>
    <cellStyle name="Hüperlink" xfId="232" builtinId="8" hidden="1"/>
    <cellStyle name="Hüperlink" xfId="234" builtinId="8" hidden="1"/>
    <cellStyle name="Hüperlink" xfId="236" builtinId="8" hidden="1"/>
    <cellStyle name="Hüperlink" xfId="238" builtinId="8" hidden="1"/>
    <cellStyle name="Hüperlink" xfId="240" builtinId="8" hidden="1"/>
    <cellStyle name="Hüperlink" xfId="242" builtinId="8" hidden="1"/>
    <cellStyle name="Hüperlink" xfId="244" builtinId="8" hidden="1"/>
    <cellStyle name="Hüperlink" xfId="246" builtinId="8" hidden="1"/>
    <cellStyle name="Hüperlink" xfId="248" builtinId="8" hidden="1"/>
    <cellStyle name="Hüperlink" xfId="250" builtinId="8" hidden="1"/>
    <cellStyle name="Hüperlink" xfId="252" builtinId="8" hidden="1"/>
    <cellStyle name="Hüperlink" xfId="254" builtinId="8" hidden="1"/>
    <cellStyle name="Hüperlink" xfId="256" builtinId="8" hidden="1"/>
    <cellStyle name="Hüperlink" xfId="258" builtinId="8" hidden="1"/>
    <cellStyle name="Hüperlink" xfId="260" builtinId="8" hidden="1"/>
    <cellStyle name="Hüperlink" xfId="262" builtinId="8" hidden="1"/>
    <cellStyle name="Hüperlink" xfId="264" builtinId="8" hidden="1"/>
    <cellStyle name="Hüperlink" xfId="266" builtinId="8" hidden="1"/>
    <cellStyle name="Hüperlink" xfId="268" builtinId="8" hidden="1"/>
    <cellStyle name="Hüperlink" xfId="270" builtinId="8" hidden="1"/>
    <cellStyle name="Hüperlink" xfId="272" builtinId="8" hidden="1"/>
    <cellStyle name="Hüperlink" xfId="274" builtinId="8" hidden="1"/>
    <cellStyle name="Hüperlink" xfId="276" builtinId="8" hidden="1"/>
    <cellStyle name="Hüperlink" xfId="278" builtinId="8" hidden="1"/>
    <cellStyle name="Hüperlink" xfId="280" builtinId="8" hidden="1"/>
    <cellStyle name="Hüperlink" xfId="282" builtinId="8" hidden="1"/>
    <cellStyle name="Hüperlink" xfId="284" builtinId="8" hidden="1"/>
    <cellStyle name="Hüperlink" xfId="286" builtinId="8" hidden="1"/>
    <cellStyle name="Hüperlink" xfId="288" builtinId="8" hidden="1"/>
    <cellStyle name="Hüperlink" xfId="290" builtinId="8" hidden="1"/>
    <cellStyle name="Hüperlink" xfId="292" builtinId="8" hidden="1"/>
    <cellStyle name="Hüperlink" xfId="294" builtinId="8" hidden="1"/>
    <cellStyle name="Hüperlink" xfId="296" builtinId="8" hidden="1"/>
    <cellStyle name="Hüperlink" xfId="298" builtinId="8" hidden="1"/>
    <cellStyle name="Hüperlink" xfId="300" builtinId="8" hidden="1"/>
    <cellStyle name="Hüperlink" xfId="302" builtinId="8" hidden="1"/>
    <cellStyle name="Hüperlink" xfId="304" builtinId="8" hidden="1"/>
    <cellStyle name="Hüperlink" xfId="306" builtinId="8" hidden="1"/>
    <cellStyle name="Hüperlink" xfId="308" builtinId="8" hidden="1"/>
    <cellStyle name="Hüperlink" xfId="310" builtinId="8" hidden="1"/>
    <cellStyle name="Hüperlink" xfId="312" builtinId="8" hidden="1"/>
    <cellStyle name="Hüperlink" xfId="314" builtinId="8" hidden="1"/>
    <cellStyle name="Hüperlink" xfId="316" builtinId="8" hidden="1"/>
    <cellStyle name="Hüperlink" xfId="318" builtinId="8" hidden="1"/>
    <cellStyle name="Hüperlink" xfId="320" builtinId="8" hidden="1"/>
    <cellStyle name="Hüperlink" xfId="322" builtinId="8" hidden="1"/>
    <cellStyle name="Hüperlink" xfId="324" builtinId="8" hidden="1"/>
    <cellStyle name="Hüperlink" xfId="326" builtinId="8" hidden="1"/>
    <cellStyle name="Hüperlink" xfId="328" builtinId="8" hidden="1"/>
    <cellStyle name="Hüperlink" xfId="330" builtinId="8" hidden="1"/>
    <cellStyle name="Hüperlink" xfId="332" builtinId="8" hidden="1"/>
    <cellStyle name="Hüperlink" xfId="334" builtinId="8" hidden="1"/>
    <cellStyle name="Hüperlink" xfId="336" builtinId="8" hidden="1"/>
    <cellStyle name="Hüperlink" xfId="338" builtinId="8" hidden="1"/>
    <cellStyle name="Külastatud hüperlink" xfId="5" builtinId="9" hidden="1"/>
    <cellStyle name="Külastatud hüperlink" xfId="7" builtinId="9" hidden="1"/>
    <cellStyle name="Külastatud hüperlink" xfId="9" builtinId="9" hidden="1"/>
    <cellStyle name="Külastatud hüperlink" xfId="11" builtinId="9" hidden="1"/>
    <cellStyle name="Külastatud hüperlink" xfId="13" builtinId="9" hidden="1"/>
    <cellStyle name="Külastatud hüperlink" xfId="15" builtinId="9" hidden="1"/>
    <cellStyle name="Külastatud hüperlink" xfId="17" builtinId="9" hidden="1"/>
    <cellStyle name="Külastatud hüperlink" xfId="19" builtinId="9" hidden="1"/>
    <cellStyle name="Külastatud hüperlink" xfId="21" builtinId="9" hidden="1"/>
    <cellStyle name="Külastatud hüperlink" xfId="23" builtinId="9" hidden="1"/>
    <cellStyle name="Külastatud hüperlink" xfId="25" builtinId="9" hidden="1"/>
    <cellStyle name="Külastatud hüperlink" xfId="27" builtinId="9" hidden="1"/>
    <cellStyle name="Külastatud hüperlink" xfId="29" builtinId="9" hidden="1"/>
    <cellStyle name="Külastatud hüperlink" xfId="31" builtinId="9" hidden="1"/>
    <cellStyle name="Külastatud hüperlink" xfId="33" builtinId="9" hidden="1"/>
    <cellStyle name="Külastatud hüperlink" xfId="35" builtinId="9" hidden="1"/>
    <cellStyle name="Külastatud hüperlink" xfId="37" builtinId="9" hidden="1"/>
    <cellStyle name="Külastatud hüperlink" xfId="39" builtinId="9" hidden="1"/>
    <cellStyle name="Külastatud hüperlink" xfId="41" builtinId="9" hidden="1"/>
    <cellStyle name="Külastatud hüperlink" xfId="43" builtinId="9" hidden="1"/>
    <cellStyle name="Külastatud hüperlink" xfId="45" builtinId="9" hidden="1"/>
    <cellStyle name="Külastatud hüperlink" xfId="47" builtinId="9" hidden="1"/>
    <cellStyle name="Külastatud hüperlink" xfId="49" builtinId="9" hidden="1"/>
    <cellStyle name="Külastatud hüperlink" xfId="51" builtinId="9" hidden="1"/>
    <cellStyle name="Külastatud hüperlink" xfId="53" builtinId="9" hidden="1"/>
    <cellStyle name="Külastatud hüperlink" xfId="55" builtinId="9" hidden="1"/>
    <cellStyle name="Külastatud hüperlink" xfId="57" builtinId="9" hidden="1"/>
    <cellStyle name="Külastatud hüperlink" xfId="59" builtinId="9" hidden="1"/>
    <cellStyle name="Külastatud hüperlink" xfId="61" builtinId="9" hidden="1"/>
    <cellStyle name="Külastatud hüperlink" xfId="63" builtinId="9" hidden="1"/>
    <cellStyle name="Külastatud hüperlink" xfId="65" builtinId="9" hidden="1"/>
    <cellStyle name="Külastatud hüperlink" xfId="67" builtinId="9" hidden="1"/>
    <cellStyle name="Külastatud hüperlink" xfId="69" builtinId="9" hidden="1"/>
    <cellStyle name="Külastatud hüperlink" xfId="71" builtinId="9" hidden="1"/>
    <cellStyle name="Külastatud hüperlink" xfId="73" builtinId="9" hidden="1"/>
    <cellStyle name="Külastatud hüperlink" xfId="75" builtinId="9" hidden="1"/>
    <cellStyle name="Külastatud hüperlink" xfId="77" builtinId="9" hidden="1"/>
    <cellStyle name="Külastatud hüperlink" xfId="79" builtinId="9" hidden="1"/>
    <cellStyle name="Külastatud hüperlink" xfId="81" builtinId="9" hidden="1"/>
    <cellStyle name="Külastatud hüperlink" xfId="83" builtinId="9" hidden="1"/>
    <cellStyle name="Külastatud hüperlink" xfId="85" builtinId="9" hidden="1"/>
    <cellStyle name="Külastatud hüperlink" xfId="87" builtinId="9" hidden="1"/>
    <cellStyle name="Külastatud hüperlink" xfId="89" builtinId="9" hidden="1"/>
    <cellStyle name="Külastatud hüperlink" xfId="91" builtinId="9" hidden="1"/>
    <cellStyle name="Külastatud hüperlink" xfId="93" builtinId="9" hidden="1"/>
    <cellStyle name="Külastatud hüperlink" xfId="95" builtinId="9" hidden="1"/>
    <cellStyle name="Külastatud hüperlink" xfId="97" builtinId="9" hidden="1"/>
    <cellStyle name="Külastatud hüperlink" xfId="99" builtinId="9" hidden="1"/>
    <cellStyle name="Külastatud hüperlink" xfId="101" builtinId="9" hidden="1"/>
    <cellStyle name="Külastatud hüperlink" xfId="103" builtinId="9" hidden="1"/>
    <cellStyle name="Külastatud hüperlink" xfId="105" builtinId="9" hidden="1"/>
    <cellStyle name="Külastatud hüperlink" xfId="107" builtinId="9" hidden="1"/>
    <cellStyle name="Külastatud hüperlink" xfId="109" builtinId="9" hidden="1"/>
    <cellStyle name="Külastatud hüperlink" xfId="111" builtinId="9" hidden="1"/>
    <cellStyle name="Külastatud hüperlink" xfId="113" builtinId="9" hidden="1"/>
    <cellStyle name="Külastatud hüperlink" xfId="115" builtinId="9" hidden="1"/>
    <cellStyle name="Külastatud hüperlink" xfId="117" builtinId="9" hidden="1"/>
    <cellStyle name="Külastatud hüperlink" xfId="119" builtinId="9" hidden="1"/>
    <cellStyle name="Külastatud hüperlink" xfId="121" builtinId="9" hidden="1"/>
    <cellStyle name="Külastatud hüperlink" xfId="123" builtinId="9" hidden="1"/>
    <cellStyle name="Külastatud hüperlink" xfId="125" builtinId="9" hidden="1"/>
    <cellStyle name="Külastatud hüperlink" xfId="127" builtinId="9" hidden="1"/>
    <cellStyle name="Külastatud hüperlink" xfId="129" builtinId="9" hidden="1"/>
    <cellStyle name="Külastatud hüperlink" xfId="131" builtinId="9" hidden="1"/>
    <cellStyle name="Külastatud hüperlink" xfId="133" builtinId="9" hidden="1"/>
    <cellStyle name="Külastatud hüperlink" xfId="135" builtinId="9" hidden="1"/>
    <cellStyle name="Külastatud hüperlink" xfId="137" builtinId="9" hidden="1"/>
    <cellStyle name="Külastatud hüperlink" xfId="139" builtinId="9" hidden="1"/>
    <cellStyle name="Külastatud hüperlink" xfId="141" builtinId="9" hidden="1"/>
    <cellStyle name="Külastatud hüperlink" xfId="143" builtinId="9" hidden="1"/>
    <cellStyle name="Külastatud hüperlink" xfId="145" builtinId="9" hidden="1"/>
    <cellStyle name="Külastatud hüperlink" xfId="147" builtinId="9" hidden="1"/>
    <cellStyle name="Külastatud hüperlink" xfId="149" builtinId="9" hidden="1"/>
    <cellStyle name="Külastatud hüperlink" xfId="151" builtinId="9" hidden="1"/>
    <cellStyle name="Külastatud hüperlink" xfId="153" builtinId="9" hidden="1"/>
    <cellStyle name="Külastatud hüperlink" xfId="155" builtinId="9" hidden="1"/>
    <cellStyle name="Külastatud hüperlink" xfId="157" builtinId="9" hidden="1"/>
    <cellStyle name="Külastatud hüperlink" xfId="159" builtinId="9" hidden="1"/>
    <cellStyle name="Külastatud hüperlink" xfId="161" builtinId="9" hidden="1"/>
    <cellStyle name="Külastatud hüperlink" xfId="163" builtinId="9" hidden="1"/>
    <cellStyle name="Külastatud hüperlink" xfId="165" builtinId="9" hidden="1"/>
    <cellStyle name="Külastatud hüperlink" xfId="167" builtinId="9" hidden="1"/>
    <cellStyle name="Külastatud hüperlink" xfId="169" builtinId="9" hidden="1"/>
    <cellStyle name="Külastatud hüperlink" xfId="171" builtinId="9" hidden="1"/>
    <cellStyle name="Külastatud hüperlink" xfId="173" builtinId="9" hidden="1"/>
    <cellStyle name="Külastatud hüperlink" xfId="175" builtinId="9" hidden="1"/>
    <cellStyle name="Külastatud hüperlink" xfId="177" builtinId="9" hidden="1"/>
    <cellStyle name="Külastatud hüperlink" xfId="179" builtinId="9" hidden="1"/>
    <cellStyle name="Külastatud hüperlink" xfId="181" builtinId="9" hidden="1"/>
    <cellStyle name="Külastatud hüperlink" xfId="183" builtinId="9" hidden="1"/>
    <cellStyle name="Külastatud hüperlink" xfId="185" builtinId="9" hidden="1"/>
    <cellStyle name="Külastatud hüperlink" xfId="187" builtinId="9" hidden="1"/>
    <cellStyle name="Külastatud hüperlink" xfId="189" builtinId="9" hidden="1"/>
    <cellStyle name="Külastatud hüperlink" xfId="191" builtinId="9" hidden="1"/>
    <cellStyle name="Külastatud hüperlink" xfId="193" builtinId="9" hidden="1"/>
    <cellStyle name="Külastatud hüperlink" xfId="195" builtinId="9" hidden="1"/>
    <cellStyle name="Külastatud hüperlink" xfId="197" builtinId="9" hidden="1"/>
    <cellStyle name="Külastatud hüperlink" xfId="199" builtinId="9" hidden="1"/>
    <cellStyle name="Külastatud hüperlink" xfId="201" builtinId="9" hidden="1"/>
    <cellStyle name="Külastatud hüperlink" xfId="203" builtinId="9" hidden="1"/>
    <cellStyle name="Külastatud hüperlink" xfId="205" builtinId="9" hidden="1"/>
    <cellStyle name="Külastatud hüperlink" xfId="207" builtinId="9" hidden="1"/>
    <cellStyle name="Külastatud hüperlink" xfId="209" builtinId="9" hidden="1"/>
    <cellStyle name="Külastatud hüperlink" xfId="211" builtinId="9" hidden="1"/>
    <cellStyle name="Külastatud hüperlink" xfId="213" builtinId="9" hidden="1"/>
    <cellStyle name="Külastatud hüperlink" xfId="215" builtinId="9" hidden="1"/>
    <cellStyle name="Külastatud hüperlink" xfId="217" builtinId="9" hidden="1"/>
    <cellStyle name="Külastatud hüperlink" xfId="219" builtinId="9" hidden="1"/>
    <cellStyle name="Külastatud hüperlink" xfId="221" builtinId="9" hidden="1"/>
    <cellStyle name="Külastatud hüperlink" xfId="223" builtinId="9" hidden="1"/>
    <cellStyle name="Külastatud hüperlink" xfId="225" builtinId="9" hidden="1"/>
    <cellStyle name="Külastatud hüperlink" xfId="227" builtinId="9" hidden="1"/>
    <cellStyle name="Külastatud hüperlink" xfId="229" builtinId="9" hidden="1"/>
    <cellStyle name="Külastatud hüperlink" xfId="231" builtinId="9" hidden="1"/>
    <cellStyle name="Külastatud hüperlink" xfId="233" builtinId="9" hidden="1"/>
    <cellStyle name="Külastatud hüperlink" xfId="235" builtinId="9" hidden="1"/>
    <cellStyle name="Külastatud hüperlink" xfId="237" builtinId="9" hidden="1"/>
    <cellStyle name="Külastatud hüperlink" xfId="239" builtinId="9" hidden="1"/>
    <cellStyle name="Külastatud hüperlink" xfId="241" builtinId="9" hidden="1"/>
    <cellStyle name="Külastatud hüperlink" xfId="243" builtinId="9" hidden="1"/>
    <cellStyle name="Külastatud hüperlink" xfId="245" builtinId="9" hidden="1"/>
    <cellStyle name="Külastatud hüperlink" xfId="247" builtinId="9" hidden="1"/>
    <cellStyle name="Külastatud hüperlink" xfId="249" builtinId="9" hidden="1"/>
    <cellStyle name="Külastatud hüperlink" xfId="251" builtinId="9" hidden="1"/>
    <cellStyle name="Külastatud hüperlink" xfId="253" builtinId="9" hidden="1"/>
    <cellStyle name="Külastatud hüperlink" xfId="255" builtinId="9" hidden="1"/>
    <cellStyle name="Külastatud hüperlink" xfId="257" builtinId="9" hidden="1"/>
    <cellStyle name="Külastatud hüperlink" xfId="259" builtinId="9" hidden="1"/>
    <cellStyle name="Külastatud hüperlink" xfId="261" builtinId="9" hidden="1"/>
    <cellStyle name="Külastatud hüperlink" xfId="263" builtinId="9" hidden="1"/>
    <cellStyle name="Külastatud hüperlink" xfId="265" builtinId="9" hidden="1"/>
    <cellStyle name="Külastatud hüperlink" xfId="267" builtinId="9" hidden="1"/>
    <cellStyle name="Külastatud hüperlink" xfId="269" builtinId="9" hidden="1"/>
    <cellStyle name="Külastatud hüperlink" xfId="271" builtinId="9" hidden="1"/>
    <cellStyle name="Külastatud hüperlink" xfId="273" builtinId="9" hidden="1"/>
    <cellStyle name="Külastatud hüperlink" xfId="275" builtinId="9" hidden="1"/>
    <cellStyle name="Külastatud hüperlink" xfId="277" builtinId="9" hidden="1"/>
    <cellStyle name="Külastatud hüperlink" xfId="279" builtinId="9" hidden="1"/>
    <cellStyle name="Külastatud hüperlink" xfId="281" builtinId="9" hidden="1"/>
    <cellStyle name="Külastatud hüperlink" xfId="283" builtinId="9" hidden="1"/>
    <cellStyle name="Külastatud hüperlink" xfId="285" builtinId="9" hidden="1"/>
    <cellStyle name="Külastatud hüperlink" xfId="287" builtinId="9" hidden="1"/>
    <cellStyle name="Külastatud hüperlink" xfId="289" builtinId="9" hidden="1"/>
    <cellStyle name="Külastatud hüperlink" xfId="291" builtinId="9" hidden="1"/>
    <cellStyle name="Külastatud hüperlink" xfId="293" builtinId="9" hidden="1"/>
    <cellStyle name="Külastatud hüperlink" xfId="295" builtinId="9" hidden="1"/>
    <cellStyle name="Külastatud hüperlink" xfId="297" builtinId="9" hidden="1"/>
    <cellStyle name="Külastatud hüperlink" xfId="299" builtinId="9" hidden="1"/>
    <cellStyle name="Külastatud hüperlink" xfId="301" builtinId="9" hidden="1"/>
    <cellStyle name="Külastatud hüperlink" xfId="303" builtinId="9" hidden="1"/>
    <cellStyle name="Külastatud hüperlink" xfId="305" builtinId="9" hidden="1"/>
    <cellStyle name="Külastatud hüperlink" xfId="307" builtinId="9" hidden="1"/>
    <cellStyle name="Külastatud hüperlink" xfId="309" builtinId="9" hidden="1"/>
    <cellStyle name="Külastatud hüperlink" xfId="311" builtinId="9" hidden="1"/>
    <cellStyle name="Külastatud hüperlink" xfId="313" builtinId="9" hidden="1"/>
    <cellStyle name="Külastatud hüperlink" xfId="315" builtinId="9" hidden="1"/>
    <cellStyle name="Külastatud hüperlink" xfId="317" builtinId="9" hidden="1"/>
    <cellStyle name="Külastatud hüperlink" xfId="319" builtinId="9" hidden="1"/>
    <cellStyle name="Külastatud hüperlink" xfId="321" builtinId="9" hidden="1"/>
    <cellStyle name="Külastatud hüperlink" xfId="323" builtinId="9" hidden="1"/>
    <cellStyle name="Külastatud hüperlink" xfId="325" builtinId="9" hidden="1"/>
    <cellStyle name="Külastatud hüperlink" xfId="327" builtinId="9" hidden="1"/>
    <cellStyle name="Külastatud hüperlink" xfId="329" builtinId="9" hidden="1"/>
    <cellStyle name="Külastatud hüperlink" xfId="331" builtinId="9" hidden="1"/>
    <cellStyle name="Külastatud hüperlink" xfId="333" builtinId="9" hidden="1"/>
    <cellStyle name="Külastatud hüperlink" xfId="335" builtinId="9" hidden="1"/>
    <cellStyle name="Külastatud hüperlink" xfId="337" builtinId="9" hidden="1"/>
    <cellStyle name="Külastatud hüperlink" xfId="339" builtinId="9" hidden="1"/>
    <cellStyle name="Normaallaad" xfId="0" builtinId="0"/>
    <cellStyle name="Normal 18" xfId="3"/>
    <cellStyle name="Normal_Sheet1" xfId="1"/>
    <cellStyle name="Normal_Sheet1 2" xfId="2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ko\AppData\Local\Microsoft\Windows\INetCache\Content.Outlook\SUYYLX23\Faili%20Faili%20Tapa%202023E%20ver%205%20ilma%20kommentaaride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aruanne"/>
      <sheetName val="Strateegia vorm KOV"/>
      <sheetName val="Strateegia vorm valdkonniti"/>
      <sheetName val="Strateegia vorm sõltuv üksus"/>
      <sheetName val="Strateegia vorm arvestusüksus"/>
      <sheetName val="laenud"/>
      <sheetName val="Tulubaas"/>
      <sheetName val="elanike koosseus"/>
    </sheetNames>
    <sheetDataSet>
      <sheetData sheetId="0">
        <row r="7">
          <cell r="D7">
            <v>9996000</v>
          </cell>
          <cell r="H7">
            <v>9371419.7000000011</v>
          </cell>
        </row>
        <row r="8">
          <cell r="D8">
            <v>9700000</v>
          </cell>
          <cell r="H8">
            <v>9083905.9700000007</v>
          </cell>
        </row>
        <row r="9">
          <cell r="D9">
            <v>295000</v>
          </cell>
          <cell r="H9">
            <v>287145.23</v>
          </cell>
        </row>
        <row r="14">
          <cell r="D14">
            <v>1170443</v>
          </cell>
          <cell r="H14">
            <v>1051535.44</v>
          </cell>
        </row>
        <row r="16">
          <cell r="D16">
            <v>2110280</v>
          </cell>
          <cell r="H16">
            <v>1933180</v>
          </cell>
        </row>
        <row r="17">
          <cell r="D17">
            <v>6188454</v>
          </cell>
          <cell r="H17">
            <v>5119338</v>
          </cell>
        </row>
        <row r="18">
          <cell r="D18">
            <v>444833</v>
          </cell>
          <cell r="H18">
            <v>1116173.95</v>
          </cell>
        </row>
        <row r="19">
          <cell r="D19">
            <v>101500</v>
          </cell>
          <cell r="H19">
            <v>168964.65</v>
          </cell>
        </row>
        <row r="25">
          <cell r="D25">
            <v>-1268578</v>
          </cell>
          <cell r="H25">
            <v>-907407.54</v>
          </cell>
        </row>
        <row r="31">
          <cell r="D31">
            <v>-12380752.949999999</v>
          </cell>
          <cell r="H31">
            <v>-10381410.18</v>
          </cell>
        </row>
        <row r="32">
          <cell r="D32">
            <v>-5872785.7599999998</v>
          </cell>
          <cell r="H32">
            <v>-5995903.5899999999</v>
          </cell>
        </row>
        <row r="33">
          <cell r="D33">
            <v>-56876</v>
          </cell>
          <cell r="H33">
            <v>-709.51</v>
          </cell>
        </row>
        <row r="36">
          <cell r="D36">
            <v>300000</v>
          </cell>
          <cell r="H36">
            <v>17588.43</v>
          </cell>
        </row>
        <row r="37">
          <cell r="D37">
            <v>-2006652</v>
          </cell>
          <cell r="H37">
            <v>-1886638.61</v>
          </cell>
        </row>
        <row r="38">
          <cell r="D38">
            <v>325708</v>
          </cell>
          <cell r="H38">
            <v>884545.83</v>
          </cell>
        </row>
        <row r="39">
          <cell r="D39">
            <v>-110932</v>
          </cell>
          <cell r="H39">
            <v>-114287.76</v>
          </cell>
        </row>
        <row r="44">
          <cell r="D44">
            <v>72900</v>
          </cell>
          <cell r="H44">
            <v>72900</v>
          </cell>
        </row>
        <row r="46">
          <cell r="D46">
            <v>1500</v>
          </cell>
          <cell r="H46">
            <v>1252.7</v>
          </cell>
        </row>
        <row r="47">
          <cell r="D47">
            <v>-405000</v>
          </cell>
          <cell r="H47">
            <v>-129085.54</v>
          </cell>
        </row>
        <row r="50">
          <cell r="D50">
            <v>1800000</v>
          </cell>
          <cell r="H50">
            <v>1934120</v>
          </cell>
        </row>
        <row r="51">
          <cell r="D51">
            <v>-1674520</v>
          </cell>
          <cell r="H51">
            <v>-1479615.84</v>
          </cell>
        </row>
        <row r="52">
          <cell r="D52">
            <v>-1264478.71</v>
          </cell>
          <cell r="H52">
            <v>-22624.97</v>
          </cell>
        </row>
        <row r="53">
          <cell r="H53">
            <v>-798585.1</v>
          </cell>
        </row>
        <row r="156">
          <cell r="H156">
            <v>10438774.32</v>
          </cell>
        </row>
        <row r="158">
          <cell r="H158">
            <v>1607486.02</v>
          </cell>
        </row>
      </sheetData>
      <sheetData sheetId="1">
        <row r="2">
          <cell r="B2">
            <v>18760611.739999998</v>
          </cell>
          <cell r="C2">
            <v>20011510</v>
          </cell>
          <cell r="D2">
            <v>20088033</v>
          </cell>
          <cell r="E2">
            <v>20642994</v>
          </cell>
          <cell r="F2">
            <v>21242994</v>
          </cell>
          <cell r="G2">
            <v>21792994</v>
          </cell>
        </row>
        <row r="13">
          <cell r="B13">
            <v>17285430.82</v>
          </cell>
          <cell r="C13">
            <v>19578992.710000001</v>
          </cell>
          <cell r="D13">
            <v>20050000</v>
          </cell>
          <cell r="E13">
            <v>20424000</v>
          </cell>
          <cell r="F13">
            <v>20805480</v>
          </cell>
          <cell r="G13">
            <v>21194589.600000001</v>
          </cell>
        </row>
        <row r="21">
          <cell r="B21">
            <v>-1153724.9500000002</v>
          </cell>
          <cell r="C21">
            <v>-1822476</v>
          </cell>
          <cell r="D21">
            <v>-1048963.4443999999</v>
          </cell>
          <cell r="E21">
            <v>-1094178.3328</v>
          </cell>
          <cell r="F21">
            <v>-1111742.6528</v>
          </cell>
          <cell r="G21">
            <v>-1017144.5728</v>
          </cell>
        </row>
        <row r="29">
          <cell r="B29">
            <v>72900</v>
          </cell>
          <cell r="C29">
            <v>72900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0</v>
          </cell>
          <cell r="C30">
            <v>0</v>
          </cell>
        </row>
        <row r="34">
          <cell r="B34">
            <v>454504.15999999992</v>
          </cell>
          <cell r="C34">
            <v>125480</v>
          </cell>
          <cell r="D34">
            <v>1077704</v>
          </cell>
          <cell r="E34">
            <v>1064108</v>
          </cell>
          <cell r="F34">
            <v>760048</v>
          </cell>
          <cell r="G34">
            <v>410048</v>
          </cell>
        </row>
        <row r="37">
          <cell r="B37">
            <v>-22624.97</v>
          </cell>
          <cell r="C37">
            <v>-1264478.71</v>
          </cell>
          <cell r="D37">
            <v>66773.55560000008</v>
          </cell>
          <cell r="E37">
            <v>188923.66720000003</v>
          </cell>
          <cell r="F37">
            <v>85819.34719999996</v>
          </cell>
          <cell r="G37">
            <v>-8692.1728000014555</v>
          </cell>
        </row>
        <row r="41">
          <cell r="B41">
            <v>1607486.02</v>
          </cell>
        </row>
        <row r="42">
          <cell r="B42">
            <v>10438774.32</v>
          </cell>
          <cell r="C42">
            <v>10564254.32</v>
          </cell>
          <cell r="D42">
            <v>11641958.32</v>
          </cell>
          <cell r="E42">
            <v>12706066.32</v>
          </cell>
          <cell r="F42">
            <v>13466114.32</v>
          </cell>
          <cell r="G42">
            <v>13876162.32</v>
          </cell>
        </row>
        <row r="44">
          <cell r="B44">
            <v>0</v>
          </cell>
          <cell r="C44">
            <v>0</v>
          </cell>
        </row>
      </sheetData>
      <sheetData sheetId="2"/>
      <sheetData sheetId="3">
        <row r="242">
          <cell r="B242">
            <v>483003</v>
          </cell>
          <cell r="C242">
            <v>526900</v>
          </cell>
          <cell r="D242">
            <v>600666</v>
          </cell>
          <cell r="E242">
            <v>684759</v>
          </cell>
          <cell r="F242">
            <v>780626</v>
          </cell>
          <cell r="G242">
            <v>889914</v>
          </cell>
        </row>
        <row r="243"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</row>
        <row r="244"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</row>
        <row r="245">
          <cell r="B245">
            <v>481267</v>
          </cell>
          <cell r="C245">
            <v>502000</v>
          </cell>
          <cell r="D245">
            <v>592360</v>
          </cell>
          <cell r="E245">
            <v>698985</v>
          </cell>
          <cell r="F245">
            <v>780000</v>
          </cell>
          <cell r="G245">
            <v>888000</v>
          </cell>
        </row>
        <row r="246">
          <cell r="B246">
            <v>8915</v>
          </cell>
          <cell r="C246">
            <v>9000</v>
          </cell>
          <cell r="D246">
            <v>9000</v>
          </cell>
          <cell r="E246">
            <v>9000</v>
          </cell>
          <cell r="F246">
            <v>9000</v>
          </cell>
          <cell r="G246">
            <v>9000</v>
          </cell>
        </row>
        <row r="247"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</row>
        <row r="249"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</row>
        <row r="251"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</row>
        <row r="252">
          <cell r="B252">
            <v>1804</v>
          </cell>
          <cell r="C252">
            <v>15000</v>
          </cell>
          <cell r="D252">
            <v>5000</v>
          </cell>
          <cell r="E252">
            <v>-5000</v>
          </cell>
          <cell r="F252">
            <v>1000</v>
          </cell>
          <cell r="G252">
            <v>9000</v>
          </cell>
        </row>
        <row r="255">
          <cell r="B255">
            <v>58512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</row>
        <row r="258"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</row>
      </sheetData>
      <sheetData sheetId="4"/>
      <sheetData sheetId="5">
        <row r="41">
          <cell r="E41">
            <v>1422296</v>
          </cell>
          <cell r="F41">
            <v>1585892</v>
          </cell>
          <cell r="G41">
            <v>1839952</v>
          </cell>
          <cell r="H41">
            <v>2089952</v>
          </cell>
        </row>
        <row r="45">
          <cell r="E45">
            <v>475391.44439999998</v>
          </cell>
          <cell r="F45">
            <v>465678.33280000003</v>
          </cell>
          <cell r="G45">
            <v>508242.65280000004</v>
          </cell>
          <cell r="H45">
            <v>538644.57279999997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2"/>
  <sheetViews>
    <sheetView workbookViewId="0">
      <selection activeCell="G24" sqref="G24"/>
    </sheetView>
  </sheetViews>
  <sheetFormatPr defaultRowHeight="15.75"/>
  <cols>
    <col min="1" max="1" width="41.375" customWidth="1"/>
    <col min="2" max="2" width="9.5" customWidth="1"/>
    <col min="3" max="7" width="9.375" customWidth="1"/>
    <col min="8" max="8" width="9.875" hidden="1" customWidth="1"/>
    <col min="9" max="9" width="10.625" hidden="1" customWidth="1"/>
    <col min="10" max="10" width="7.125" hidden="1" customWidth="1"/>
    <col min="11" max="12" width="0" hidden="1" customWidth="1"/>
    <col min="13" max="13" width="46.625" hidden="1" customWidth="1"/>
    <col min="14" max="14" width="8.375" bestFit="1" customWidth="1"/>
    <col min="16" max="16" width="44.625" customWidth="1"/>
    <col min="257" max="257" width="41.375" customWidth="1"/>
    <col min="258" max="258" width="9.5" customWidth="1"/>
    <col min="259" max="263" width="9.375" customWidth="1"/>
    <col min="264" max="269" width="0" hidden="1" customWidth="1"/>
    <col min="270" max="270" width="8.375" bestFit="1" customWidth="1"/>
    <col min="272" max="272" width="44.625" customWidth="1"/>
    <col min="513" max="513" width="41.375" customWidth="1"/>
    <col min="514" max="514" width="9.5" customWidth="1"/>
    <col min="515" max="519" width="9.375" customWidth="1"/>
    <col min="520" max="525" width="0" hidden="1" customWidth="1"/>
    <col min="526" max="526" width="8.375" bestFit="1" customWidth="1"/>
    <col min="528" max="528" width="44.625" customWidth="1"/>
    <col min="769" max="769" width="41.375" customWidth="1"/>
    <col min="770" max="770" width="9.5" customWidth="1"/>
    <col min="771" max="775" width="9.375" customWidth="1"/>
    <col min="776" max="781" width="0" hidden="1" customWidth="1"/>
    <col min="782" max="782" width="8.375" bestFit="1" customWidth="1"/>
    <col min="784" max="784" width="44.625" customWidth="1"/>
    <col min="1025" max="1025" width="41.375" customWidth="1"/>
    <col min="1026" max="1026" width="9.5" customWidth="1"/>
    <col min="1027" max="1031" width="9.375" customWidth="1"/>
    <col min="1032" max="1037" width="0" hidden="1" customWidth="1"/>
    <col min="1038" max="1038" width="8.375" bestFit="1" customWidth="1"/>
    <col min="1040" max="1040" width="44.625" customWidth="1"/>
    <col min="1281" max="1281" width="41.375" customWidth="1"/>
    <col min="1282" max="1282" width="9.5" customWidth="1"/>
    <col min="1283" max="1287" width="9.375" customWidth="1"/>
    <col min="1288" max="1293" width="0" hidden="1" customWidth="1"/>
    <col min="1294" max="1294" width="8.375" bestFit="1" customWidth="1"/>
    <col min="1296" max="1296" width="44.625" customWidth="1"/>
    <col min="1537" max="1537" width="41.375" customWidth="1"/>
    <col min="1538" max="1538" width="9.5" customWidth="1"/>
    <col min="1539" max="1543" width="9.375" customWidth="1"/>
    <col min="1544" max="1549" width="0" hidden="1" customWidth="1"/>
    <col min="1550" max="1550" width="8.375" bestFit="1" customWidth="1"/>
    <col min="1552" max="1552" width="44.625" customWidth="1"/>
    <col min="1793" max="1793" width="41.375" customWidth="1"/>
    <col min="1794" max="1794" width="9.5" customWidth="1"/>
    <col min="1795" max="1799" width="9.375" customWidth="1"/>
    <col min="1800" max="1805" width="0" hidden="1" customWidth="1"/>
    <col min="1806" max="1806" width="8.375" bestFit="1" customWidth="1"/>
    <col min="1808" max="1808" width="44.625" customWidth="1"/>
    <col min="2049" max="2049" width="41.375" customWidth="1"/>
    <col min="2050" max="2050" width="9.5" customWidth="1"/>
    <col min="2051" max="2055" width="9.375" customWidth="1"/>
    <col min="2056" max="2061" width="0" hidden="1" customWidth="1"/>
    <col min="2062" max="2062" width="8.375" bestFit="1" customWidth="1"/>
    <col min="2064" max="2064" width="44.625" customWidth="1"/>
    <col min="2305" max="2305" width="41.375" customWidth="1"/>
    <col min="2306" max="2306" width="9.5" customWidth="1"/>
    <col min="2307" max="2311" width="9.375" customWidth="1"/>
    <col min="2312" max="2317" width="0" hidden="1" customWidth="1"/>
    <col min="2318" max="2318" width="8.375" bestFit="1" customWidth="1"/>
    <col min="2320" max="2320" width="44.625" customWidth="1"/>
    <col min="2561" max="2561" width="41.375" customWidth="1"/>
    <col min="2562" max="2562" width="9.5" customWidth="1"/>
    <col min="2563" max="2567" width="9.375" customWidth="1"/>
    <col min="2568" max="2573" width="0" hidden="1" customWidth="1"/>
    <col min="2574" max="2574" width="8.375" bestFit="1" customWidth="1"/>
    <col min="2576" max="2576" width="44.625" customWidth="1"/>
    <col min="2817" max="2817" width="41.375" customWidth="1"/>
    <col min="2818" max="2818" width="9.5" customWidth="1"/>
    <col min="2819" max="2823" width="9.375" customWidth="1"/>
    <col min="2824" max="2829" width="0" hidden="1" customWidth="1"/>
    <col min="2830" max="2830" width="8.375" bestFit="1" customWidth="1"/>
    <col min="2832" max="2832" width="44.625" customWidth="1"/>
    <col min="3073" max="3073" width="41.375" customWidth="1"/>
    <col min="3074" max="3074" width="9.5" customWidth="1"/>
    <col min="3075" max="3079" width="9.375" customWidth="1"/>
    <col min="3080" max="3085" width="0" hidden="1" customWidth="1"/>
    <col min="3086" max="3086" width="8.375" bestFit="1" customWidth="1"/>
    <col min="3088" max="3088" width="44.625" customWidth="1"/>
    <col min="3329" max="3329" width="41.375" customWidth="1"/>
    <col min="3330" max="3330" width="9.5" customWidth="1"/>
    <col min="3331" max="3335" width="9.375" customWidth="1"/>
    <col min="3336" max="3341" width="0" hidden="1" customWidth="1"/>
    <col min="3342" max="3342" width="8.375" bestFit="1" customWidth="1"/>
    <col min="3344" max="3344" width="44.625" customWidth="1"/>
    <col min="3585" max="3585" width="41.375" customWidth="1"/>
    <col min="3586" max="3586" width="9.5" customWidth="1"/>
    <col min="3587" max="3591" width="9.375" customWidth="1"/>
    <col min="3592" max="3597" width="0" hidden="1" customWidth="1"/>
    <col min="3598" max="3598" width="8.375" bestFit="1" customWidth="1"/>
    <col min="3600" max="3600" width="44.625" customWidth="1"/>
    <col min="3841" max="3841" width="41.375" customWidth="1"/>
    <col min="3842" max="3842" width="9.5" customWidth="1"/>
    <col min="3843" max="3847" width="9.375" customWidth="1"/>
    <col min="3848" max="3853" width="0" hidden="1" customWidth="1"/>
    <col min="3854" max="3854" width="8.375" bestFit="1" customWidth="1"/>
    <col min="3856" max="3856" width="44.625" customWidth="1"/>
    <col min="4097" max="4097" width="41.375" customWidth="1"/>
    <col min="4098" max="4098" width="9.5" customWidth="1"/>
    <col min="4099" max="4103" width="9.375" customWidth="1"/>
    <col min="4104" max="4109" width="0" hidden="1" customWidth="1"/>
    <col min="4110" max="4110" width="8.375" bestFit="1" customWidth="1"/>
    <col min="4112" max="4112" width="44.625" customWidth="1"/>
    <col min="4353" max="4353" width="41.375" customWidth="1"/>
    <col min="4354" max="4354" width="9.5" customWidth="1"/>
    <col min="4355" max="4359" width="9.375" customWidth="1"/>
    <col min="4360" max="4365" width="0" hidden="1" customWidth="1"/>
    <col min="4366" max="4366" width="8.375" bestFit="1" customWidth="1"/>
    <col min="4368" max="4368" width="44.625" customWidth="1"/>
    <col min="4609" max="4609" width="41.375" customWidth="1"/>
    <col min="4610" max="4610" width="9.5" customWidth="1"/>
    <col min="4611" max="4615" width="9.375" customWidth="1"/>
    <col min="4616" max="4621" width="0" hidden="1" customWidth="1"/>
    <col min="4622" max="4622" width="8.375" bestFit="1" customWidth="1"/>
    <col min="4624" max="4624" width="44.625" customWidth="1"/>
    <col min="4865" max="4865" width="41.375" customWidth="1"/>
    <col min="4866" max="4866" width="9.5" customWidth="1"/>
    <col min="4867" max="4871" width="9.375" customWidth="1"/>
    <col min="4872" max="4877" width="0" hidden="1" customWidth="1"/>
    <col min="4878" max="4878" width="8.375" bestFit="1" customWidth="1"/>
    <col min="4880" max="4880" width="44.625" customWidth="1"/>
    <col min="5121" max="5121" width="41.375" customWidth="1"/>
    <col min="5122" max="5122" width="9.5" customWidth="1"/>
    <col min="5123" max="5127" width="9.375" customWidth="1"/>
    <col min="5128" max="5133" width="0" hidden="1" customWidth="1"/>
    <col min="5134" max="5134" width="8.375" bestFit="1" customWidth="1"/>
    <col min="5136" max="5136" width="44.625" customWidth="1"/>
    <col min="5377" max="5377" width="41.375" customWidth="1"/>
    <col min="5378" max="5378" width="9.5" customWidth="1"/>
    <col min="5379" max="5383" width="9.375" customWidth="1"/>
    <col min="5384" max="5389" width="0" hidden="1" customWidth="1"/>
    <col min="5390" max="5390" width="8.375" bestFit="1" customWidth="1"/>
    <col min="5392" max="5392" width="44.625" customWidth="1"/>
    <col min="5633" max="5633" width="41.375" customWidth="1"/>
    <col min="5634" max="5634" width="9.5" customWidth="1"/>
    <col min="5635" max="5639" width="9.375" customWidth="1"/>
    <col min="5640" max="5645" width="0" hidden="1" customWidth="1"/>
    <col min="5646" max="5646" width="8.375" bestFit="1" customWidth="1"/>
    <col min="5648" max="5648" width="44.625" customWidth="1"/>
    <col min="5889" max="5889" width="41.375" customWidth="1"/>
    <col min="5890" max="5890" width="9.5" customWidth="1"/>
    <col min="5891" max="5895" width="9.375" customWidth="1"/>
    <col min="5896" max="5901" width="0" hidden="1" customWidth="1"/>
    <col min="5902" max="5902" width="8.375" bestFit="1" customWidth="1"/>
    <col min="5904" max="5904" width="44.625" customWidth="1"/>
    <col min="6145" max="6145" width="41.375" customWidth="1"/>
    <col min="6146" max="6146" width="9.5" customWidth="1"/>
    <col min="6147" max="6151" width="9.375" customWidth="1"/>
    <col min="6152" max="6157" width="0" hidden="1" customWidth="1"/>
    <col min="6158" max="6158" width="8.375" bestFit="1" customWidth="1"/>
    <col min="6160" max="6160" width="44.625" customWidth="1"/>
    <col min="6401" max="6401" width="41.375" customWidth="1"/>
    <col min="6402" max="6402" width="9.5" customWidth="1"/>
    <col min="6403" max="6407" width="9.375" customWidth="1"/>
    <col min="6408" max="6413" width="0" hidden="1" customWidth="1"/>
    <col min="6414" max="6414" width="8.375" bestFit="1" customWidth="1"/>
    <col min="6416" max="6416" width="44.625" customWidth="1"/>
    <col min="6657" max="6657" width="41.375" customWidth="1"/>
    <col min="6658" max="6658" width="9.5" customWidth="1"/>
    <col min="6659" max="6663" width="9.375" customWidth="1"/>
    <col min="6664" max="6669" width="0" hidden="1" customWidth="1"/>
    <col min="6670" max="6670" width="8.375" bestFit="1" customWidth="1"/>
    <col min="6672" max="6672" width="44.625" customWidth="1"/>
    <col min="6913" max="6913" width="41.375" customWidth="1"/>
    <col min="6914" max="6914" width="9.5" customWidth="1"/>
    <col min="6915" max="6919" width="9.375" customWidth="1"/>
    <col min="6920" max="6925" width="0" hidden="1" customWidth="1"/>
    <col min="6926" max="6926" width="8.375" bestFit="1" customWidth="1"/>
    <col min="6928" max="6928" width="44.625" customWidth="1"/>
    <col min="7169" max="7169" width="41.375" customWidth="1"/>
    <col min="7170" max="7170" width="9.5" customWidth="1"/>
    <col min="7171" max="7175" width="9.375" customWidth="1"/>
    <col min="7176" max="7181" width="0" hidden="1" customWidth="1"/>
    <col min="7182" max="7182" width="8.375" bestFit="1" customWidth="1"/>
    <col min="7184" max="7184" width="44.625" customWidth="1"/>
    <col min="7425" max="7425" width="41.375" customWidth="1"/>
    <col min="7426" max="7426" width="9.5" customWidth="1"/>
    <col min="7427" max="7431" width="9.375" customWidth="1"/>
    <col min="7432" max="7437" width="0" hidden="1" customWidth="1"/>
    <col min="7438" max="7438" width="8.375" bestFit="1" customWidth="1"/>
    <col min="7440" max="7440" width="44.625" customWidth="1"/>
    <col min="7681" max="7681" width="41.375" customWidth="1"/>
    <col min="7682" max="7682" width="9.5" customWidth="1"/>
    <col min="7683" max="7687" width="9.375" customWidth="1"/>
    <col min="7688" max="7693" width="0" hidden="1" customWidth="1"/>
    <col min="7694" max="7694" width="8.375" bestFit="1" customWidth="1"/>
    <col min="7696" max="7696" width="44.625" customWidth="1"/>
    <col min="7937" max="7937" width="41.375" customWidth="1"/>
    <col min="7938" max="7938" width="9.5" customWidth="1"/>
    <col min="7939" max="7943" width="9.375" customWidth="1"/>
    <col min="7944" max="7949" width="0" hidden="1" customWidth="1"/>
    <col min="7950" max="7950" width="8.375" bestFit="1" customWidth="1"/>
    <col min="7952" max="7952" width="44.625" customWidth="1"/>
    <col min="8193" max="8193" width="41.375" customWidth="1"/>
    <col min="8194" max="8194" width="9.5" customWidth="1"/>
    <col min="8195" max="8199" width="9.375" customWidth="1"/>
    <col min="8200" max="8205" width="0" hidden="1" customWidth="1"/>
    <col min="8206" max="8206" width="8.375" bestFit="1" customWidth="1"/>
    <col min="8208" max="8208" width="44.625" customWidth="1"/>
    <col min="8449" max="8449" width="41.375" customWidth="1"/>
    <col min="8450" max="8450" width="9.5" customWidth="1"/>
    <col min="8451" max="8455" width="9.375" customWidth="1"/>
    <col min="8456" max="8461" width="0" hidden="1" customWidth="1"/>
    <col min="8462" max="8462" width="8.375" bestFit="1" customWidth="1"/>
    <col min="8464" max="8464" width="44.625" customWidth="1"/>
    <col min="8705" max="8705" width="41.375" customWidth="1"/>
    <col min="8706" max="8706" width="9.5" customWidth="1"/>
    <col min="8707" max="8711" width="9.375" customWidth="1"/>
    <col min="8712" max="8717" width="0" hidden="1" customWidth="1"/>
    <col min="8718" max="8718" width="8.375" bestFit="1" customWidth="1"/>
    <col min="8720" max="8720" width="44.625" customWidth="1"/>
    <col min="8961" max="8961" width="41.375" customWidth="1"/>
    <col min="8962" max="8962" width="9.5" customWidth="1"/>
    <col min="8963" max="8967" width="9.375" customWidth="1"/>
    <col min="8968" max="8973" width="0" hidden="1" customWidth="1"/>
    <col min="8974" max="8974" width="8.375" bestFit="1" customWidth="1"/>
    <col min="8976" max="8976" width="44.625" customWidth="1"/>
    <col min="9217" max="9217" width="41.375" customWidth="1"/>
    <col min="9218" max="9218" width="9.5" customWidth="1"/>
    <col min="9219" max="9223" width="9.375" customWidth="1"/>
    <col min="9224" max="9229" width="0" hidden="1" customWidth="1"/>
    <col min="9230" max="9230" width="8.375" bestFit="1" customWidth="1"/>
    <col min="9232" max="9232" width="44.625" customWidth="1"/>
    <col min="9473" max="9473" width="41.375" customWidth="1"/>
    <col min="9474" max="9474" width="9.5" customWidth="1"/>
    <col min="9475" max="9479" width="9.375" customWidth="1"/>
    <col min="9480" max="9485" width="0" hidden="1" customWidth="1"/>
    <col min="9486" max="9486" width="8.375" bestFit="1" customWidth="1"/>
    <col min="9488" max="9488" width="44.625" customWidth="1"/>
    <col min="9729" max="9729" width="41.375" customWidth="1"/>
    <col min="9730" max="9730" width="9.5" customWidth="1"/>
    <col min="9731" max="9735" width="9.375" customWidth="1"/>
    <col min="9736" max="9741" width="0" hidden="1" customWidth="1"/>
    <col min="9742" max="9742" width="8.375" bestFit="1" customWidth="1"/>
    <col min="9744" max="9744" width="44.625" customWidth="1"/>
    <col min="9985" max="9985" width="41.375" customWidth="1"/>
    <col min="9986" max="9986" width="9.5" customWidth="1"/>
    <col min="9987" max="9991" width="9.375" customWidth="1"/>
    <col min="9992" max="9997" width="0" hidden="1" customWidth="1"/>
    <col min="9998" max="9998" width="8.375" bestFit="1" customWidth="1"/>
    <col min="10000" max="10000" width="44.625" customWidth="1"/>
    <col min="10241" max="10241" width="41.375" customWidth="1"/>
    <col min="10242" max="10242" width="9.5" customWidth="1"/>
    <col min="10243" max="10247" width="9.375" customWidth="1"/>
    <col min="10248" max="10253" width="0" hidden="1" customWidth="1"/>
    <col min="10254" max="10254" width="8.375" bestFit="1" customWidth="1"/>
    <col min="10256" max="10256" width="44.625" customWidth="1"/>
    <col min="10497" max="10497" width="41.375" customWidth="1"/>
    <col min="10498" max="10498" width="9.5" customWidth="1"/>
    <col min="10499" max="10503" width="9.375" customWidth="1"/>
    <col min="10504" max="10509" width="0" hidden="1" customWidth="1"/>
    <col min="10510" max="10510" width="8.375" bestFit="1" customWidth="1"/>
    <col min="10512" max="10512" width="44.625" customWidth="1"/>
    <col min="10753" max="10753" width="41.375" customWidth="1"/>
    <col min="10754" max="10754" width="9.5" customWidth="1"/>
    <col min="10755" max="10759" width="9.375" customWidth="1"/>
    <col min="10760" max="10765" width="0" hidden="1" customWidth="1"/>
    <col min="10766" max="10766" width="8.375" bestFit="1" customWidth="1"/>
    <col min="10768" max="10768" width="44.625" customWidth="1"/>
    <col min="11009" max="11009" width="41.375" customWidth="1"/>
    <col min="11010" max="11010" width="9.5" customWidth="1"/>
    <col min="11011" max="11015" width="9.375" customWidth="1"/>
    <col min="11016" max="11021" width="0" hidden="1" customWidth="1"/>
    <col min="11022" max="11022" width="8.375" bestFit="1" customWidth="1"/>
    <col min="11024" max="11024" width="44.625" customWidth="1"/>
    <col min="11265" max="11265" width="41.375" customWidth="1"/>
    <col min="11266" max="11266" width="9.5" customWidth="1"/>
    <col min="11267" max="11271" width="9.375" customWidth="1"/>
    <col min="11272" max="11277" width="0" hidden="1" customWidth="1"/>
    <col min="11278" max="11278" width="8.375" bestFit="1" customWidth="1"/>
    <col min="11280" max="11280" width="44.625" customWidth="1"/>
    <col min="11521" max="11521" width="41.375" customWidth="1"/>
    <col min="11522" max="11522" width="9.5" customWidth="1"/>
    <col min="11523" max="11527" width="9.375" customWidth="1"/>
    <col min="11528" max="11533" width="0" hidden="1" customWidth="1"/>
    <col min="11534" max="11534" width="8.375" bestFit="1" customWidth="1"/>
    <col min="11536" max="11536" width="44.625" customWidth="1"/>
    <col min="11777" max="11777" width="41.375" customWidth="1"/>
    <col min="11778" max="11778" width="9.5" customWidth="1"/>
    <col min="11779" max="11783" width="9.375" customWidth="1"/>
    <col min="11784" max="11789" width="0" hidden="1" customWidth="1"/>
    <col min="11790" max="11790" width="8.375" bestFit="1" customWidth="1"/>
    <col min="11792" max="11792" width="44.625" customWidth="1"/>
    <col min="12033" max="12033" width="41.375" customWidth="1"/>
    <col min="12034" max="12034" width="9.5" customWidth="1"/>
    <col min="12035" max="12039" width="9.375" customWidth="1"/>
    <col min="12040" max="12045" width="0" hidden="1" customWidth="1"/>
    <col min="12046" max="12046" width="8.375" bestFit="1" customWidth="1"/>
    <col min="12048" max="12048" width="44.625" customWidth="1"/>
    <col min="12289" max="12289" width="41.375" customWidth="1"/>
    <col min="12290" max="12290" width="9.5" customWidth="1"/>
    <col min="12291" max="12295" width="9.375" customWidth="1"/>
    <col min="12296" max="12301" width="0" hidden="1" customWidth="1"/>
    <col min="12302" max="12302" width="8.375" bestFit="1" customWidth="1"/>
    <col min="12304" max="12304" width="44.625" customWidth="1"/>
    <col min="12545" max="12545" width="41.375" customWidth="1"/>
    <col min="12546" max="12546" width="9.5" customWidth="1"/>
    <col min="12547" max="12551" width="9.375" customWidth="1"/>
    <col min="12552" max="12557" width="0" hidden="1" customWidth="1"/>
    <col min="12558" max="12558" width="8.375" bestFit="1" customWidth="1"/>
    <col min="12560" max="12560" width="44.625" customWidth="1"/>
    <col min="12801" max="12801" width="41.375" customWidth="1"/>
    <col min="12802" max="12802" width="9.5" customWidth="1"/>
    <col min="12803" max="12807" width="9.375" customWidth="1"/>
    <col min="12808" max="12813" width="0" hidden="1" customWidth="1"/>
    <col min="12814" max="12814" width="8.375" bestFit="1" customWidth="1"/>
    <col min="12816" max="12816" width="44.625" customWidth="1"/>
    <col min="13057" max="13057" width="41.375" customWidth="1"/>
    <col min="13058" max="13058" width="9.5" customWidth="1"/>
    <col min="13059" max="13063" width="9.375" customWidth="1"/>
    <col min="13064" max="13069" width="0" hidden="1" customWidth="1"/>
    <col min="13070" max="13070" width="8.375" bestFit="1" customWidth="1"/>
    <col min="13072" max="13072" width="44.625" customWidth="1"/>
    <col min="13313" max="13313" width="41.375" customWidth="1"/>
    <col min="13314" max="13314" width="9.5" customWidth="1"/>
    <col min="13315" max="13319" width="9.375" customWidth="1"/>
    <col min="13320" max="13325" width="0" hidden="1" customWidth="1"/>
    <col min="13326" max="13326" width="8.375" bestFit="1" customWidth="1"/>
    <col min="13328" max="13328" width="44.625" customWidth="1"/>
    <col min="13569" max="13569" width="41.375" customWidth="1"/>
    <col min="13570" max="13570" width="9.5" customWidth="1"/>
    <col min="13571" max="13575" width="9.375" customWidth="1"/>
    <col min="13576" max="13581" width="0" hidden="1" customWidth="1"/>
    <col min="13582" max="13582" width="8.375" bestFit="1" customWidth="1"/>
    <col min="13584" max="13584" width="44.625" customWidth="1"/>
    <col min="13825" max="13825" width="41.375" customWidth="1"/>
    <col min="13826" max="13826" width="9.5" customWidth="1"/>
    <col min="13827" max="13831" width="9.375" customWidth="1"/>
    <col min="13832" max="13837" width="0" hidden="1" customWidth="1"/>
    <col min="13838" max="13838" width="8.375" bestFit="1" customWidth="1"/>
    <col min="13840" max="13840" width="44.625" customWidth="1"/>
    <col min="14081" max="14081" width="41.375" customWidth="1"/>
    <col min="14082" max="14082" width="9.5" customWidth="1"/>
    <col min="14083" max="14087" width="9.375" customWidth="1"/>
    <col min="14088" max="14093" width="0" hidden="1" customWidth="1"/>
    <col min="14094" max="14094" width="8.375" bestFit="1" customWidth="1"/>
    <col min="14096" max="14096" width="44.625" customWidth="1"/>
    <col min="14337" max="14337" width="41.375" customWidth="1"/>
    <col min="14338" max="14338" width="9.5" customWidth="1"/>
    <col min="14339" max="14343" width="9.375" customWidth="1"/>
    <col min="14344" max="14349" width="0" hidden="1" customWidth="1"/>
    <col min="14350" max="14350" width="8.375" bestFit="1" customWidth="1"/>
    <col min="14352" max="14352" width="44.625" customWidth="1"/>
    <col min="14593" max="14593" width="41.375" customWidth="1"/>
    <col min="14594" max="14594" width="9.5" customWidth="1"/>
    <col min="14595" max="14599" width="9.375" customWidth="1"/>
    <col min="14600" max="14605" width="0" hidden="1" customWidth="1"/>
    <col min="14606" max="14606" width="8.375" bestFit="1" customWidth="1"/>
    <col min="14608" max="14608" width="44.625" customWidth="1"/>
    <col min="14849" max="14849" width="41.375" customWidth="1"/>
    <col min="14850" max="14850" width="9.5" customWidth="1"/>
    <col min="14851" max="14855" width="9.375" customWidth="1"/>
    <col min="14856" max="14861" width="0" hidden="1" customWidth="1"/>
    <col min="14862" max="14862" width="8.375" bestFit="1" customWidth="1"/>
    <col min="14864" max="14864" width="44.625" customWidth="1"/>
    <col min="15105" max="15105" width="41.375" customWidth="1"/>
    <col min="15106" max="15106" width="9.5" customWidth="1"/>
    <col min="15107" max="15111" width="9.375" customWidth="1"/>
    <col min="15112" max="15117" width="0" hidden="1" customWidth="1"/>
    <col min="15118" max="15118" width="8.375" bestFit="1" customWidth="1"/>
    <col min="15120" max="15120" width="44.625" customWidth="1"/>
    <col min="15361" max="15361" width="41.375" customWidth="1"/>
    <col min="15362" max="15362" width="9.5" customWidth="1"/>
    <col min="15363" max="15367" width="9.375" customWidth="1"/>
    <col min="15368" max="15373" width="0" hidden="1" customWidth="1"/>
    <col min="15374" max="15374" width="8.375" bestFit="1" customWidth="1"/>
    <col min="15376" max="15376" width="44.625" customWidth="1"/>
    <col min="15617" max="15617" width="41.375" customWidth="1"/>
    <col min="15618" max="15618" width="9.5" customWidth="1"/>
    <col min="15619" max="15623" width="9.375" customWidth="1"/>
    <col min="15624" max="15629" width="0" hidden="1" customWidth="1"/>
    <col min="15630" max="15630" width="8.375" bestFit="1" customWidth="1"/>
    <col min="15632" max="15632" width="44.625" customWidth="1"/>
    <col min="15873" max="15873" width="41.375" customWidth="1"/>
    <col min="15874" max="15874" width="9.5" customWidth="1"/>
    <col min="15875" max="15879" width="9.375" customWidth="1"/>
    <col min="15880" max="15885" width="0" hidden="1" customWidth="1"/>
    <col min="15886" max="15886" width="8.375" bestFit="1" customWidth="1"/>
    <col min="15888" max="15888" width="44.625" customWidth="1"/>
    <col min="16129" max="16129" width="41.375" customWidth="1"/>
    <col min="16130" max="16130" width="9.5" customWidth="1"/>
    <col min="16131" max="16135" width="9.375" customWidth="1"/>
    <col min="16136" max="16141" width="0" hidden="1" customWidth="1"/>
    <col min="16142" max="16142" width="8.375" bestFit="1" customWidth="1"/>
    <col min="16144" max="16144" width="44.625" customWidth="1"/>
  </cols>
  <sheetData>
    <row r="1" spans="1:13" ht="54.75" customHeight="1" thickBot="1">
      <c r="A1" s="6" t="s">
        <v>81</v>
      </c>
      <c r="B1" s="7" t="s">
        <v>82</v>
      </c>
      <c r="C1" s="7" t="s">
        <v>83</v>
      </c>
      <c r="D1" s="7" t="s">
        <v>0</v>
      </c>
      <c r="E1" s="7" t="s">
        <v>1</v>
      </c>
      <c r="F1" s="7" t="s">
        <v>2</v>
      </c>
      <c r="G1" s="8" t="s">
        <v>84</v>
      </c>
      <c r="H1" s="9" t="s">
        <v>85</v>
      </c>
      <c r="I1" s="10" t="s">
        <v>86</v>
      </c>
      <c r="J1" s="11" t="s">
        <v>87</v>
      </c>
    </row>
    <row r="2" spans="1:13" ht="15" customHeight="1">
      <c r="A2" s="12" t="s">
        <v>3</v>
      </c>
      <c r="B2" s="13">
        <f t="shared" ref="B2:G2" si="0">B3+B7+B8+B12</f>
        <v>18760611.739999998</v>
      </c>
      <c r="C2" s="13">
        <f t="shared" si="0"/>
        <v>20011510</v>
      </c>
      <c r="D2" s="13">
        <f t="shared" si="0"/>
        <v>20088033</v>
      </c>
      <c r="E2" s="13">
        <f t="shared" si="0"/>
        <v>20642994</v>
      </c>
      <c r="F2" s="13">
        <f t="shared" si="0"/>
        <v>21242994</v>
      </c>
      <c r="G2" s="14">
        <f t="shared" si="0"/>
        <v>21792994</v>
      </c>
      <c r="H2" s="15" t="s">
        <v>88</v>
      </c>
      <c r="I2" s="15"/>
    </row>
    <row r="3" spans="1:13">
      <c r="A3" s="16" t="s">
        <v>4</v>
      </c>
      <c r="B3" s="17">
        <f t="shared" ref="B3:G3" si="1">SUM(B4:B6)</f>
        <v>9371419.7000000011</v>
      </c>
      <c r="C3" s="17">
        <f t="shared" si="1"/>
        <v>9996000</v>
      </c>
      <c r="D3" s="17">
        <f t="shared" si="1"/>
        <v>10500000</v>
      </c>
      <c r="E3" s="17">
        <f t="shared" si="1"/>
        <v>11005000</v>
      </c>
      <c r="F3" s="17">
        <f t="shared" si="1"/>
        <v>11555000</v>
      </c>
      <c r="G3" s="18">
        <f t="shared" si="1"/>
        <v>12055000</v>
      </c>
    </row>
    <row r="4" spans="1:13">
      <c r="A4" s="16" t="s">
        <v>5</v>
      </c>
      <c r="B4" s="19">
        <f>[1]Eelarvearuanne!H8</f>
        <v>9083905.9700000007</v>
      </c>
      <c r="C4" s="19">
        <f>[1]Eelarvearuanne!D8</f>
        <v>9700000</v>
      </c>
      <c r="D4" s="20">
        <f>C4+504000</f>
        <v>10204000</v>
      </c>
      <c r="E4" s="20">
        <f>D4+500000</f>
        <v>10704000</v>
      </c>
      <c r="F4" s="20">
        <f>E4+500000</f>
        <v>11204000</v>
      </c>
      <c r="G4" s="21">
        <f>F4+500000</f>
        <v>11704000</v>
      </c>
      <c r="H4" s="5">
        <f>C4/B4-1</f>
        <v>6.7822589977778014E-2</v>
      </c>
      <c r="I4" s="5">
        <f>D4/C4-1</f>
        <v>5.1958762886597842E-2</v>
      </c>
      <c r="J4" s="5">
        <f>E4/D4-1</f>
        <v>4.9000392003136106E-2</v>
      </c>
      <c r="K4" s="5">
        <f>F4/E4-1</f>
        <v>4.6711509715994026E-2</v>
      </c>
      <c r="L4" s="5">
        <f>G4/F4-1</f>
        <v>4.4626918957515249E-2</v>
      </c>
    </row>
    <row r="5" spans="1:13">
      <c r="A5" s="16" t="s">
        <v>6</v>
      </c>
      <c r="B5" s="19">
        <f>[1]Eelarvearuanne!H9</f>
        <v>287145.23</v>
      </c>
      <c r="C5" s="19">
        <f>[1]Eelarvearuanne!D9</f>
        <v>295000</v>
      </c>
      <c r="D5" s="20">
        <v>295000</v>
      </c>
      <c r="E5" s="20">
        <v>300000</v>
      </c>
      <c r="F5" s="20">
        <v>350000</v>
      </c>
      <c r="G5" s="21">
        <v>350000</v>
      </c>
    </row>
    <row r="6" spans="1:13">
      <c r="A6" s="16" t="s">
        <v>7</v>
      </c>
      <c r="B6" s="19">
        <f>[1]Eelarvearuanne!H7-[1]Eelarvearuanne!H8-[1]Eelarvearuanne!H9</f>
        <v>368.50000000046566</v>
      </c>
      <c r="C6" s="19">
        <f>[1]Eelarvearuanne!D7-[1]Eelarvearuanne!D8-[1]Eelarvearuanne!D9</f>
        <v>1000</v>
      </c>
      <c r="D6" s="20">
        <v>1000</v>
      </c>
      <c r="E6" s="20">
        <v>1000</v>
      </c>
      <c r="F6" s="20">
        <v>1000</v>
      </c>
      <c r="G6" s="21">
        <v>1000</v>
      </c>
    </row>
    <row r="7" spans="1:13">
      <c r="A7" s="16" t="s">
        <v>8</v>
      </c>
      <c r="B7" s="22">
        <f>[1]Eelarvearuanne!H14</f>
        <v>1051535.44</v>
      </c>
      <c r="C7" s="22">
        <f>[1]Eelarvearuanne!D14</f>
        <v>1170443</v>
      </c>
      <c r="D7" s="20">
        <v>1200000</v>
      </c>
      <c r="E7" s="20">
        <v>1250000</v>
      </c>
      <c r="F7" s="20">
        <v>1300000</v>
      </c>
      <c r="G7" s="20">
        <v>1350000</v>
      </c>
    </row>
    <row r="8" spans="1:13">
      <c r="A8" s="16" t="s">
        <v>9</v>
      </c>
      <c r="B8" s="23">
        <f t="shared" ref="B8:G8" si="2">SUM(B9:B11)</f>
        <v>8168691.9500000002</v>
      </c>
      <c r="C8" s="17">
        <f t="shared" si="2"/>
        <v>8743567</v>
      </c>
      <c r="D8" s="17">
        <f t="shared" si="2"/>
        <v>8288033</v>
      </c>
      <c r="E8" s="17">
        <f t="shared" si="2"/>
        <v>8287994</v>
      </c>
      <c r="F8" s="17">
        <f t="shared" si="2"/>
        <v>8287994</v>
      </c>
      <c r="G8" s="18">
        <f t="shared" si="2"/>
        <v>8287994</v>
      </c>
    </row>
    <row r="9" spans="1:13">
      <c r="A9" s="16" t="s">
        <v>10</v>
      </c>
      <c r="B9" s="22">
        <f>[1]Eelarvearuanne!H16</f>
        <v>1933180</v>
      </c>
      <c r="C9" s="22">
        <f>[1]Eelarvearuanne!D16</f>
        <v>2110280</v>
      </c>
      <c r="D9" s="24">
        <v>2842039</v>
      </c>
      <c r="E9" s="20">
        <v>2842000</v>
      </c>
      <c r="F9" s="20">
        <v>2842000</v>
      </c>
      <c r="G9" s="20">
        <v>2842000</v>
      </c>
      <c r="H9" s="25" t="s">
        <v>89</v>
      </c>
      <c r="I9" s="25"/>
      <c r="J9" s="25"/>
      <c r="K9" s="25"/>
      <c r="L9" s="25"/>
      <c r="M9" s="26" t="s">
        <v>90</v>
      </c>
    </row>
    <row r="10" spans="1:13">
      <c r="A10" s="16" t="s">
        <v>11</v>
      </c>
      <c r="B10" s="22">
        <f>[1]Eelarvearuanne!H17</f>
        <v>5119338</v>
      </c>
      <c r="C10" s="22">
        <f>[1]Eelarvearuanne!D17</f>
        <v>6188454</v>
      </c>
      <c r="D10" s="24">
        <f>C10-655675-378451-67731-40603</f>
        <v>5045994</v>
      </c>
      <c r="E10" s="20">
        <f>D10</f>
        <v>5045994</v>
      </c>
      <c r="F10" s="20">
        <f>E10</f>
        <v>5045994</v>
      </c>
      <c r="G10" s="20">
        <f>F10</f>
        <v>5045994</v>
      </c>
      <c r="H10" s="27" t="s">
        <v>91</v>
      </c>
      <c r="I10" s="25"/>
      <c r="J10" s="25"/>
      <c r="M10" s="26" t="s">
        <v>92</v>
      </c>
    </row>
    <row r="11" spans="1:13">
      <c r="A11" s="16" t="s">
        <v>12</v>
      </c>
      <c r="B11" s="22">
        <f>[1]Eelarvearuanne!H18</f>
        <v>1116173.95</v>
      </c>
      <c r="C11" s="22">
        <f>[1]Eelarvearuanne!D18</f>
        <v>444833</v>
      </c>
      <c r="D11" s="20">
        <v>400000</v>
      </c>
      <c r="E11" s="20">
        <v>400000</v>
      </c>
      <c r="F11" s="20">
        <v>400000</v>
      </c>
      <c r="G11" s="20">
        <v>400000</v>
      </c>
      <c r="H11" s="2" t="s">
        <v>93</v>
      </c>
    </row>
    <row r="12" spans="1:13">
      <c r="A12" s="16" t="s">
        <v>13</v>
      </c>
      <c r="B12" s="22">
        <f>[1]Eelarvearuanne!H19</f>
        <v>168964.65</v>
      </c>
      <c r="C12" s="22">
        <f>[1]Eelarvearuanne!D19</f>
        <v>101500</v>
      </c>
      <c r="D12" s="20">
        <v>100000</v>
      </c>
      <c r="E12" s="20">
        <v>100000</v>
      </c>
      <c r="F12" s="20">
        <v>100000</v>
      </c>
      <c r="G12" s="20">
        <v>100000</v>
      </c>
      <c r="H12" t="s">
        <v>94</v>
      </c>
    </row>
    <row r="13" spans="1:13">
      <c r="A13" s="28" t="s">
        <v>14</v>
      </c>
      <c r="B13" s="29">
        <f t="shared" ref="B13:G13" si="3">SUM(B14:B15)</f>
        <v>17285430.82</v>
      </c>
      <c r="C13" s="29">
        <f>C14+C15</f>
        <v>19578992.710000001</v>
      </c>
      <c r="D13" s="30">
        <f t="shared" si="3"/>
        <v>20050000</v>
      </c>
      <c r="E13" s="30">
        <f t="shared" si="3"/>
        <v>20424000</v>
      </c>
      <c r="F13" s="30">
        <f t="shared" si="3"/>
        <v>20805480</v>
      </c>
      <c r="G13" s="31">
        <f t="shared" si="3"/>
        <v>21194589.600000001</v>
      </c>
    </row>
    <row r="14" spans="1:13">
      <c r="A14" s="16" t="s">
        <v>15</v>
      </c>
      <c r="B14" s="22">
        <f>-[1]Eelarvearuanne!H25</f>
        <v>907407.54</v>
      </c>
      <c r="C14" s="22">
        <f>-[1]Eelarvearuanne!D25</f>
        <v>1268578</v>
      </c>
      <c r="D14" s="20">
        <v>1300000</v>
      </c>
      <c r="E14" s="20">
        <v>1300000</v>
      </c>
      <c r="F14" s="20">
        <v>1300000</v>
      </c>
      <c r="G14" s="20">
        <v>1300000</v>
      </c>
    </row>
    <row r="15" spans="1:13">
      <c r="A15" s="16" t="s">
        <v>16</v>
      </c>
      <c r="B15" s="23">
        <f t="shared" ref="B15:G15" si="4">B16+B17+B19</f>
        <v>16378023.279999999</v>
      </c>
      <c r="C15" s="23">
        <f t="shared" si="4"/>
        <v>18310414.710000001</v>
      </c>
      <c r="D15" s="32">
        <f t="shared" si="4"/>
        <v>18750000</v>
      </c>
      <c r="E15" s="32">
        <f t="shared" si="4"/>
        <v>19124000</v>
      </c>
      <c r="F15" s="32">
        <f t="shared" si="4"/>
        <v>19505480</v>
      </c>
      <c r="G15" s="33">
        <f t="shared" si="4"/>
        <v>19894589.600000001</v>
      </c>
    </row>
    <row r="16" spans="1:13">
      <c r="A16" s="16" t="s">
        <v>17</v>
      </c>
      <c r="B16" s="22">
        <f>-[1]Eelarvearuanne!H31</f>
        <v>10381410.18</v>
      </c>
      <c r="C16" s="22">
        <f>-[1]Eelarvearuanne!D31</f>
        <v>12380752.949999999</v>
      </c>
      <c r="D16" s="20">
        <v>12700000</v>
      </c>
      <c r="E16" s="20">
        <f t="shared" ref="E16:G17" si="5">D16*1.02</f>
        <v>12954000</v>
      </c>
      <c r="F16" s="20">
        <f t="shared" si="5"/>
        <v>13213080</v>
      </c>
      <c r="G16" s="20">
        <f t="shared" si="5"/>
        <v>13477341.6</v>
      </c>
      <c r="H16" s="5">
        <f>C16/B16-1</f>
        <v>0.19258874616588928</v>
      </c>
      <c r="I16" s="5">
        <f t="shared" ref="I16:L17" si="6">D16/C16-1</f>
        <v>2.5785754007796591E-2</v>
      </c>
      <c r="J16" s="5">
        <f t="shared" si="6"/>
        <v>2.0000000000000018E-2</v>
      </c>
      <c r="K16" s="5">
        <f t="shared" si="6"/>
        <v>2.0000000000000018E-2</v>
      </c>
      <c r="L16" s="5">
        <f t="shared" si="6"/>
        <v>2.0000000000000018E-2</v>
      </c>
    </row>
    <row r="17" spans="1:13">
      <c r="A17" s="16" t="s">
        <v>18</v>
      </c>
      <c r="B17" s="22">
        <f>-[1]Eelarvearuanne!H32</f>
        <v>5995903.5899999999</v>
      </c>
      <c r="C17" s="22">
        <f>-[1]Eelarvearuanne!D32</f>
        <v>5872785.7599999998</v>
      </c>
      <c r="D17" s="20">
        <v>6000000</v>
      </c>
      <c r="E17" s="20">
        <f t="shared" si="5"/>
        <v>6120000</v>
      </c>
      <c r="F17" s="20">
        <f t="shared" si="5"/>
        <v>6242400</v>
      </c>
      <c r="G17" s="20">
        <f t="shared" si="5"/>
        <v>6367248</v>
      </c>
      <c r="H17" s="5">
        <f>C17/B17-1</f>
        <v>-2.0533657379904646E-2</v>
      </c>
      <c r="I17" s="5">
        <f t="shared" si="6"/>
        <v>2.1661651760986445E-2</v>
      </c>
      <c r="J17" s="5">
        <f t="shared" si="6"/>
        <v>2.0000000000000018E-2</v>
      </c>
      <c r="K17" s="5">
        <f t="shared" si="6"/>
        <v>2.0000000000000018E-2</v>
      </c>
      <c r="L17" s="5">
        <f t="shared" si="6"/>
        <v>2.0000000000000018E-2</v>
      </c>
    </row>
    <row r="18" spans="1:13" hidden="1">
      <c r="A18" s="34" t="s">
        <v>95</v>
      </c>
      <c r="B18" s="35"/>
      <c r="C18" s="35"/>
      <c r="D18" s="36"/>
      <c r="E18" s="36"/>
      <c r="F18" s="36"/>
      <c r="G18" s="37"/>
      <c r="H18" s="38" t="s">
        <v>96</v>
      </c>
      <c r="I18" s="38"/>
    </row>
    <row r="19" spans="1:13">
      <c r="A19" s="16" t="s">
        <v>19</v>
      </c>
      <c r="B19" s="22">
        <f>-[1]Eelarvearuanne!H33</f>
        <v>709.51</v>
      </c>
      <c r="C19" s="22">
        <f>-[1]Eelarvearuanne!D33</f>
        <v>56876</v>
      </c>
      <c r="D19" s="20">
        <v>50000</v>
      </c>
      <c r="E19" s="20">
        <v>50000</v>
      </c>
      <c r="F19" s="20">
        <v>50000</v>
      </c>
      <c r="G19" s="20">
        <v>50000</v>
      </c>
      <c r="H19" s="39" t="s">
        <v>97</v>
      </c>
    </row>
    <row r="20" spans="1:13">
      <c r="A20" s="40" t="s">
        <v>20</v>
      </c>
      <c r="B20" s="41">
        <f t="shared" ref="B20:G20" si="7">B2-B13</f>
        <v>1475180.9199999981</v>
      </c>
      <c r="C20" s="42">
        <f t="shared" si="7"/>
        <v>432517.28999999911</v>
      </c>
      <c r="D20" s="42">
        <f t="shared" si="7"/>
        <v>38033</v>
      </c>
      <c r="E20" s="42">
        <f t="shared" si="7"/>
        <v>218994</v>
      </c>
      <c r="F20" s="42">
        <f t="shared" si="7"/>
        <v>437514</v>
      </c>
      <c r="G20" s="43">
        <f t="shared" si="7"/>
        <v>598404.39999999851</v>
      </c>
      <c r="H20" s="39" t="s">
        <v>98</v>
      </c>
      <c r="I20" s="39"/>
    </row>
    <row r="21" spans="1:13">
      <c r="A21" s="44" t="s">
        <v>21</v>
      </c>
      <c r="B21" s="45">
        <f t="shared" ref="B21:G21" si="8">B22+B23+B25+B26+B27+B28+B29+B30+B31+B32</f>
        <v>-1153724.9500000002</v>
      </c>
      <c r="C21" s="45">
        <f>C22+C23+C25+C26+C27+C28+C29+C30+C31+C32</f>
        <v>-1822476</v>
      </c>
      <c r="D21" s="45">
        <f>D22+D23+D25+D26+D27+D28+D29+D30+D31+D32</f>
        <v>-1048963.4443999999</v>
      </c>
      <c r="E21" s="45">
        <f t="shared" si="8"/>
        <v>-1094178.3328</v>
      </c>
      <c r="F21" s="45">
        <f t="shared" si="8"/>
        <v>-1111742.6528</v>
      </c>
      <c r="G21" s="46">
        <f t="shared" si="8"/>
        <v>-1017144.5728</v>
      </c>
    </row>
    <row r="22" spans="1:13" ht="12.75" customHeight="1">
      <c r="A22" s="47" t="s">
        <v>22</v>
      </c>
      <c r="B22" s="22">
        <f>[1]Eelarvearuanne!H36</f>
        <v>17588.43</v>
      </c>
      <c r="C22" s="22">
        <f>[1]Eelarvearuanne!D36</f>
        <v>300000</v>
      </c>
      <c r="D22" s="20">
        <f>100000+70000</f>
        <v>170000</v>
      </c>
      <c r="E22" s="20">
        <v>150000</v>
      </c>
      <c r="F22" s="20">
        <v>100000</v>
      </c>
      <c r="G22" s="21">
        <v>100000</v>
      </c>
      <c r="H22" s="48"/>
      <c r="I22" s="48"/>
    </row>
    <row r="23" spans="1:13" ht="12.75" customHeight="1">
      <c r="A23" s="47" t="s">
        <v>23</v>
      </c>
      <c r="B23" s="22">
        <f>[1]Eelarvearuanne!H37</f>
        <v>-1886638.61</v>
      </c>
      <c r="C23" s="49">
        <f>[1]Eelarvearuanne!D37</f>
        <v>-2006652</v>
      </c>
      <c r="D23" s="24">
        <f>-D88</f>
        <v>-818523.6</v>
      </c>
      <c r="E23" s="24">
        <f>-E88</f>
        <v>-1175000</v>
      </c>
      <c r="F23" s="24">
        <f>-F88</f>
        <v>-1100000</v>
      </c>
      <c r="G23" s="50">
        <f>-G88</f>
        <v>-600000</v>
      </c>
      <c r="H23" s="2" t="s">
        <v>99</v>
      </c>
    </row>
    <row r="24" spans="1:13">
      <c r="A24" s="51" t="s">
        <v>24</v>
      </c>
      <c r="B24" s="22">
        <f>-(-B23-B25)</f>
        <v>-1002092.7800000001</v>
      </c>
      <c r="C24" s="52">
        <f>-C90</f>
        <v>-1534433</v>
      </c>
      <c r="D24" s="24">
        <f>-D90</f>
        <v>-745072</v>
      </c>
      <c r="E24" s="24">
        <f>-E90</f>
        <v>-780000</v>
      </c>
      <c r="F24" s="24">
        <f>-F90</f>
        <v>-705000</v>
      </c>
      <c r="G24" s="50">
        <f>-G90</f>
        <v>-580000</v>
      </c>
      <c r="H24" s="2" t="s">
        <v>99</v>
      </c>
    </row>
    <row r="25" spans="1:13" ht="12.75" customHeight="1">
      <c r="A25" s="53" t="s">
        <v>25</v>
      </c>
      <c r="B25" s="22">
        <f>[1]Eelarvearuanne!H38</f>
        <v>884545.83</v>
      </c>
      <c r="C25" s="52">
        <f>[1]Eelarvearuanne!D38</f>
        <v>325708</v>
      </c>
      <c r="D25" s="24">
        <f>D89</f>
        <v>73451.600000000006</v>
      </c>
      <c r="E25" s="24">
        <f>E89</f>
        <v>395000</v>
      </c>
      <c r="F25" s="24">
        <f>F89</f>
        <v>395000</v>
      </c>
      <c r="G25" s="50">
        <f>G89</f>
        <v>20000</v>
      </c>
      <c r="H25" s="2" t="s">
        <v>100</v>
      </c>
      <c r="J25" s="2"/>
      <c r="M25" s="2" t="s">
        <v>101</v>
      </c>
    </row>
    <row r="26" spans="1:13" ht="12.75" customHeight="1">
      <c r="A26" s="47" t="s">
        <v>26</v>
      </c>
      <c r="B26" s="22">
        <f>[1]Eelarvearuanne!H39</f>
        <v>-114287.76</v>
      </c>
      <c r="C26" s="22">
        <f>[1]Eelarvearuanne!D39</f>
        <v>-110932</v>
      </c>
      <c r="D26" s="20"/>
      <c r="E26" s="20"/>
      <c r="F26" s="20"/>
      <c r="G26" s="21"/>
      <c r="H26" s="54" t="s">
        <v>102</v>
      </c>
    </row>
    <row r="27" spans="1:13" ht="12.75" customHeight="1">
      <c r="A27" s="55" t="s">
        <v>27</v>
      </c>
      <c r="B27" s="22">
        <f>[1]Eelarvearuanne!H40+[1]Eelarvearuanne!H42</f>
        <v>0</v>
      </c>
      <c r="C27" s="22">
        <f>[1]Eelarvearuanne!D40+[1]Eelarvearuanne!D42</f>
        <v>0</v>
      </c>
      <c r="D27" s="20"/>
      <c r="E27" s="20"/>
      <c r="F27" s="20"/>
      <c r="G27" s="21"/>
      <c r="H27" s="54"/>
      <c r="I27" s="56"/>
    </row>
    <row r="28" spans="1:13" ht="12.75" customHeight="1">
      <c r="A28" s="55" t="s">
        <v>28</v>
      </c>
      <c r="B28" s="22">
        <f>[1]Eelarvearuanne!H41+[1]Eelarvearuanne!H43</f>
        <v>0</v>
      </c>
      <c r="C28" s="22">
        <f>[1]Eelarvearuanne!D41+[1]Eelarvearuanne!D43</f>
        <v>0</v>
      </c>
      <c r="D28" s="20"/>
      <c r="E28" s="20"/>
      <c r="F28" s="20"/>
      <c r="G28" s="21"/>
      <c r="H28" s="56"/>
    </row>
    <row r="29" spans="1:13" ht="12.75" customHeight="1">
      <c r="A29" s="57" t="s">
        <v>29</v>
      </c>
      <c r="B29" s="58">
        <f>[1]Eelarvearuanne!H44</f>
        <v>72900</v>
      </c>
      <c r="C29" s="58">
        <f>[1]Eelarvearuanne!D44</f>
        <v>72900</v>
      </c>
      <c r="D29" s="20">
        <v>0</v>
      </c>
      <c r="E29" s="20">
        <v>0</v>
      </c>
      <c r="F29" s="20">
        <v>0</v>
      </c>
      <c r="G29" s="21">
        <v>0</v>
      </c>
    </row>
    <row r="30" spans="1:13" ht="12.75" customHeight="1">
      <c r="A30" s="55" t="s">
        <v>30</v>
      </c>
      <c r="B30" s="22">
        <f>[1]Eelarvearuanne!H45</f>
        <v>0</v>
      </c>
      <c r="C30" s="22">
        <f>[1]Eelarvearuanne!D45</f>
        <v>0</v>
      </c>
      <c r="D30" s="59"/>
      <c r="E30" s="20"/>
      <c r="F30" s="20"/>
      <c r="G30" s="21"/>
      <c r="H30" t="s">
        <v>103</v>
      </c>
    </row>
    <row r="31" spans="1:13" ht="12.75" customHeight="1">
      <c r="A31" s="60" t="s">
        <v>31</v>
      </c>
      <c r="B31" s="61">
        <f>[1]Eelarvearuanne!H46</f>
        <v>1252.7</v>
      </c>
      <c r="C31" s="61">
        <f>[1]Eelarvearuanne!D46</f>
        <v>1500</v>
      </c>
      <c r="D31" s="20">
        <v>1500</v>
      </c>
      <c r="E31" s="20">
        <v>1500</v>
      </c>
      <c r="F31" s="20">
        <v>1500</v>
      </c>
      <c r="G31" s="20">
        <v>1500</v>
      </c>
      <c r="H31" s="2" t="s">
        <v>104</v>
      </c>
    </row>
    <row r="32" spans="1:13">
      <c r="A32" s="60" t="s">
        <v>32</v>
      </c>
      <c r="B32" s="22">
        <f>[1]Eelarvearuanne!H47</f>
        <v>-129085.54</v>
      </c>
      <c r="C32" s="22">
        <f>[1]Eelarvearuanne!D47</f>
        <v>-405000</v>
      </c>
      <c r="D32" s="20">
        <f>-[1]laenud!E45</f>
        <v>-475391.44439999998</v>
      </c>
      <c r="E32" s="20">
        <f>-[1]laenud!F45</f>
        <v>-465678.33280000003</v>
      </c>
      <c r="F32" s="20">
        <f>-[1]laenud!G45</f>
        <v>-508242.65280000004</v>
      </c>
      <c r="G32" s="20">
        <f>-[1]laenud!H45</f>
        <v>-538644.57279999997</v>
      </c>
    </row>
    <row r="33" spans="1:16">
      <c r="A33" s="62" t="s">
        <v>33</v>
      </c>
      <c r="B33" s="45">
        <f t="shared" ref="B33:G33" si="9">B20+B21</f>
        <v>321455.96999999788</v>
      </c>
      <c r="C33" s="63">
        <f t="shared" si="9"/>
        <v>-1389958.7100000009</v>
      </c>
      <c r="D33" s="63">
        <f>D20+D21</f>
        <v>-1010930.4443999999</v>
      </c>
      <c r="E33" s="63">
        <f t="shared" si="9"/>
        <v>-875184.33279999997</v>
      </c>
      <c r="F33" s="63">
        <f t="shared" si="9"/>
        <v>-674228.65280000004</v>
      </c>
      <c r="G33" s="46">
        <f t="shared" si="9"/>
        <v>-418740.17280000146</v>
      </c>
      <c r="H33" s="39"/>
    </row>
    <row r="34" spans="1:16">
      <c r="A34" s="62" t="s">
        <v>34</v>
      </c>
      <c r="B34" s="45">
        <f t="shared" ref="B34:G34" si="10">B35+B36</f>
        <v>454504.15999999992</v>
      </c>
      <c r="C34" s="63">
        <f t="shared" si="10"/>
        <v>125480</v>
      </c>
      <c r="D34" s="63">
        <f t="shared" si="10"/>
        <v>1077704</v>
      </c>
      <c r="E34" s="63">
        <f t="shared" si="10"/>
        <v>1064108</v>
      </c>
      <c r="F34" s="63">
        <f t="shared" si="10"/>
        <v>760048</v>
      </c>
      <c r="G34" s="46">
        <f t="shared" si="10"/>
        <v>410048</v>
      </c>
    </row>
    <row r="35" spans="1:16">
      <c r="A35" s="64" t="s">
        <v>35</v>
      </c>
      <c r="B35" s="22">
        <f>[1]Eelarvearuanne!H50</f>
        <v>1934120</v>
      </c>
      <c r="C35" s="22">
        <f>[1]Eelarvearuanne!D50</f>
        <v>1800000</v>
      </c>
      <c r="D35" s="24">
        <v>2500000</v>
      </c>
      <c r="E35" s="24">
        <v>2650000</v>
      </c>
      <c r="F35" s="24">
        <v>2600000</v>
      </c>
      <c r="G35" s="24">
        <v>2500000</v>
      </c>
      <c r="H35" s="65" t="s">
        <v>105</v>
      </c>
      <c r="I35" s="65"/>
      <c r="J35" s="65"/>
    </row>
    <row r="36" spans="1:16">
      <c r="A36" s="64" t="s">
        <v>36</v>
      </c>
      <c r="B36" s="22">
        <f>[1]Eelarvearuanne!H51</f>
        <v>-1479615.84</v>
      </c>
      <c r="C36" s="22">
        <f>[1]Eelarvearuanne!D51</f>
        <v>-1674520</v>
      </c>
      <c r="D36" s="24">
        <f>-[1]laenud!E41</f>
        <v>-1422296</v>
      </c>
      <c r="E36" s="24">
        <f>-[1]laenud!F41</f>
        <v>-1585892</v>
      </c>
      <c r="F36" s="24">
        <f>-[1]laenud!G41</f>
        <v>-1839952</v>
      </c>
      <c r="G36" s="24">
        <f>-[1]laenud!H41</f>
        <v>-2089952</v>
      </c>
      <c r="H36" s="66" t="s">
        <v>106</v>
      </c>
      <c r="I36" s="67"/>
      <c r="J36" s="67"/>
    </row>
    <row r="37" spans="1:16" ht="26.25">
      <c r="A37" s="68" t="s">
        <v>37</v>
      </c>
      <c r="B37" s="22">
        <f>[1]Eelarvearuanne!H52</f>
        <v>-22624.97</v>
      </c>
      <c r="C37" s="49">
        <f>[1]Eelarvearuanne!D52</f>
        <v>-1264478.71</v>
      </c>
      <c r="D37" s="24">
        <f>D33+D34+D38</f>
        <v>66773.55560000008</v>
      </c>
      <c r="E37" s="24">
        <f>E33+E34+E38</f>
        <v>188923.66720000003</v>
      </c>
      <c r="F37" s="24">
        <f>F33+F34+F38</f>
        <v>85819.34719999996</v>
      </c>
      <c r="G37" s="50">
        <f>G33+G34+G38</f>
        <v>-8692.1728000014555</v>
      </c>
      <c r="H37" s="39" t="s">
        <v>107</v>
      </c>
    </row>
    <row r="38" spans="1:16">
      <c r="A38" s="68" t="s">
        <v>38</v>
      </c>
      <c r="B38" s="22">
        <f>[1]Eelarvearuanne!H53</f>
        <v>-798585.1</v>
      </c>
      <c r="C38" s="22">
        <f>[1]Eelarvearuanne!D53</f>
        <v>0</v>
      </c>
      <c r="D38" s="69">
        <f>D39+D40</f>
        <v>0</v>
      </c>
      <c r="E38" s="69">
        <f>E39+E40</f>
        <v>0</v>
      </c>
      <c r="F38" s="69">
        <f>F39+F40</f>
        <v>0</v>
      </c>
      <c r="G38" s="70">
        <f>G39+G40</f>
        <v>0</v>
      </c>
    </row>
    <row r="39" spans="1:16">
      <c r="A39" s="71" t="s">
        <v>39</v>
      </c>
      <c r="B39" s="22"/>
      <c r="C39" s="22"/>
      <c r="D39" s="72"/>
      <c r="E39" s="72"/>
      <c r="F39" s="72"/>
      <c r="G39" s="73"/>
      <c r="H39" t="s">
        <v>108</v>
      </c>
    </row>
    <row r="40" spans="1:16">
      <c r="A40" s="74" t="s">
        <v>40</v>
      </c>
      <c r="B40" s="75"/>
      <c r="C40" s="75"/>
      <c r="D40" s="20"/>
      <c r="E40" s="20"/>
      <c r="F40" s="20"/>
      <c r="G40" s="21"/>
      <c r="H40" s="2" t="s">
        <v>109</v>
      </c>
      <c r="I40" s="2"/>
    </row>
    <row r="41" spans="1:16" ht="13.5" customHeight="1">
      <c r="A41" s="76" t="s">
        <v>41</v>
      </c>
      <c r="B41" s="77">
        <f>[1]Eelarvearuanne!H158</f>
        <v>1607486.02</v>
      </c>
      <c r="C41" s="78">
        <f>B41+C37</f>
        <v>343007.31000000006</v>
      </c>
      <c r="D41" s="78">
        <f>C41+D37</f>
        <v>409780.86560000014</v>
      </c>
      <c r="E41" s="78">
        <f>D41+E37</f>
        <v>598704.53280000016</v>
      </c>
      <c r="F41" s="78">
        <f>E41+F37</f>
        <v>684523.88000000012</v>
      </c>
      <c r="G41" s="79">
        <f>F41+G37</f>
        <v>675831.70719999867</v>
      </c>
      <c r="H41" s="80" t="s">
        <v>110</v>
      </c>
      <c r="I41" s="25"/>
    </row>
    <row r="42" spans="1:16">
      <c r="A42" s="68" t="s">
        <v>42</v>
      </c>
      <c r="B42" s="4">
        <f>[1]Eelarvearuanne!H156</f>
        <v>10438774.32</v>
      </c>
      <c r="C42" s="52">
        <f>B42+C34+C43-B43</f>
        <v>10564254.32</v>
      </c>
      <c r="D42" s="52">
        <f>C42+D34+D43-C43</f>
        <v>11641958.32</v>
      </c>
      <c r="E42" s="52">
        <f>D42+E34+E43-D43</f>
        <v>12706066.32</v>
      </c>
      <c r="F42" s="52">
        <f>E42+F34+F43-E43</f>
        <v>13466114.32</v>
      </c>
      <c r="G42" s="81">
        <f>F42+G34+G43-F43</f>
        <v>13876162.32</v>
      </c>
      <c r="H42" s="39"/>
    </row>
    <row r="43" spans="1:16" ht="34.5" hidden="1" customHeight="1">
      <c r="A43" s="82" t="s">
        <v>43</v>
      </c>
      <c r="B43" s="35"/>
      <c r="C43" s="35"/>
      <c r="D43" s="36"/>
      <c r="E43" s="36"/>
      <c r="F43" s="36"/>
      <c r="G43" s="37"/>
    </row>
    <row r="44" spans="1:16" ht="23.25" hidden="1">
      <c r="A44" s="82" t="s">
        <v>44</v>
      </c>
      <c r="B44" s="83">
        <f>[1]Eelarvearuanne!H157</f>
        <v>0</v>
      </c>
      <c r="C44" s="83">
        <f>[1]Eelarvearuanne!D157</f>
        <v>0</v>
      </c>
      <c r="D44" s="20"/>
      <c r="E44" s="20"/>
      <c r="F44" s="20"/>
      <c r="G44" s="84"/>
      <c r="H44" s="2"/>
    </row>
    <row r="45" spans="1:16">
      <c r="A45" s="85" t="s">
        <v>111</v>
      </c>
      <c r="B45" s="23">
        <f t="shared" ref="B45:G45" si="11">IF(B42-B41&lt;0,0,B42-B41)</f>
        <v>8831288.3000000007</v>
      </c>
      <c r="C45" s="23">
        <f>IF(C42-C41&lt;0,0,C42-C41)</f>
        <v>10221247.01</v>
      </c>
      <c r="D45" s="23">
        <f t="shared" si="11"/>
        <v>11232177.454399999</v>
      </c>
      <c r="E45" s="23">
        <f t="shared" si="11"/>
        <v>12107361.7872</v>
      </c>
      <c r="F45" s="23">
        <f t="shared" si="11"/>
        <v>12781590.439999999</v>
      </c>
      <c r="G45" s="18">
        <f t="shared" si="11"/>
        <v>13200330.612800002</v>
      </c>
      <c r="H45" s="39"/>
    </row>
    <row r="46" spans="1:16">
      <c r="A46" s="85" t="s">
        <v>112</v>
      </c>
      <c r="B46" s="86">
        <f t="shared" ref="B46:G46" si="12">B45/B2</f>
        <v>0.47073562538318386</v>
      </c>
      <c r="C46" s="87">
        <f>C45/C2</f>
        <v>0.51076840328391004</v>
      </c>
      <c r="D46" s="87">
        <f t="shared" si="12"/>
        <v>0.55914770024521565</v>
      </c>
      <c r="E46" s="87">
        <f t="shared" si="12"/>
        <v>0.58651190748783821</v>
      </c>
      <c r="F46" s="87">
        <f t="shared" si="12"/>
        <v>0.60168498094006895</v>
      </c>
      <c r="G46" s="88">
        <f t="shared" si="12"/>
        <v>0.60571441504549595</v>
      </c>
    </row>
    <row r="47" spans="1:16">
      <c r="A47" s="85" t="s">
        <v>113</v>
      </c>
      <c r="B47" s="23">
        <f>IF((B20+B18)*10&gt;B2,B2+B44,IF((B20+B18)*10&lt;0.8*B2,0.8*B2+B44,(B20+B18)*10+B44))</f>
        <v>15008489.391999999</v>
      </c>
      <c r="C47" s="23">
        <f>IF((C20+C18)*10&gt;C2,C2+C44,IF((C20+C18)*10&lt;0.8*C2,0.8*C2+C44,(C20+C18)*10+C44))</f>
        <v>16009208</v>
      </c>
      <c r="D47" s="23">
        <f>IF((D20+D18)*10&gt;D2,D2+D44,IF((D20+D18)*10&lt;0.8*D2,0.8*D2+D44,(D20+D18)*10+D44))</f>
        <v>16070426.4</v>
      </c>
      <c r="E47" s="23">
        <f>IF((E20+E18)*9&gt;E2,E2+E44,IF((E20+E18)*9&lt;0.75*E2,0.75*E2+E44,(E20+E18)*9+E44))</f>
        <v>15482245.5</v>
      </c>
      <c r="F47" s="17">
        <f>IF((F20+F18)*8&gt;F2,F2+F44,IF((F20+F18)*8&lt;0.7*F2,0.7*F2+F44,(F20+F18)*8+F44))</f>
        <v>14870095.799999999</v>
      </c>
      <c r="G47" s="18">
        <f>IF((G20+G18)*7&gt;G2,G2+G44,IF((G20+G18)*7&lt;0.65*G2,0.65*G2+G44,(G20+G18)*7+G44))</f>
        <v>14165446.1</v>
      </c>
      <c r="H47" s="89" t="s">
        <v>114</v>
      </c>
      <c r="I47" s="90"/>
      <c r="J47" s="89" t="s">
        <v>114</v>
      </c>
    </row>
    <row r="48" spans="1:16" ht="13.5" customHeight="1">
      <c r="A48" s="85" t="s">
        <v>115</v>
      </c>
      <c r="B48" s="87">
        <f t="shared" ref="B48:G48" si="13">B47/B2</f>
        <v>0.8</v>
      </c>
      <c r="C48" s="87">
        <f t="shared" si="13"/>
        <v>0.8</v>
      </c>
      <c r="D48" s="87">
        <f t="shared" si="13"/>
        <v>0.8</v>
      </c>
      <c r="E48" s="87">
        <f t="shared" si="13"/>
        <v>0.75</v>
      </c>
      <c r="F48" s="87">
        <f t="shared" si="13"/>
        <v>0.7</v>
      </c>
      <c r="G48" s="88">
        <f t="shared" si="13"/>
        <v>0.65</v>
      </c>
      <c r="H48" s="39"/>
      <c r="I48" s="39"/>
      <c r="J48" s="39"/>
      <c r="K48" s="39"/>
      <c r="L48" s="39"/>
      <c r="M48" s="39"/>
      <c r="N48" s="39"/>
      <c r="O48" s="39"/>
      <c r="P48" s="39"/>
    </row>
    <row r="49" spans="1:13">
      <c r="A49" s="85" t="s">
        <v>45</v>
      </c>
      <c r="B49" s="17">
        <f t="shared" ref="B49:G49" si="14">B47-B45</f>
        <v>6177201.0919999983</v>
      </c>
      <c r="C49" s="17">
        <f t="shared" si="14"/>
        <v>5787960.9900000002</v>
      </c>
      <c r="D49" s="17">
        <f t="shared" si="14"/>
        <v>4838248.9456000011</v>
      </c>
      <c r="E49" s="17">
        <f t="shared" si="14"/>
        <v>3374883.7127999999</v>
      </c>
      <c r="F49" s="17">
        <f t="shared" si="14"/>
        <v>2088505.3599999994</v>
      </c>
      <c r="G49" s="18">
        <f t="shared" si="14"/>
        <v>965115.48719999753</v>
      </c>
      <c r="H49" s="39"/>
      <c r="I49" s="39"/>
      <c r="J49" s="39"/>
    </row>
    <row r="50" spans="1:13">
      <c r="A50" s="91"/>
      <c r="B50" s="92"/>
      <c r="C50" s="93"/>
      <c r="D50" s="93"/>
      <c r="E50" s="93"/>
      <c r="F50" s="93"/>
      <c r="G50" s="94"/>
    </row>
    <row r="51" spans="1:13" s="39" customFormat="1" ht="13.5" thickBot="1">
      <c r="A51" s="95" t="s">
        <v>46</v>
      </c>
      <c r="B51" s="96">
        <f t="shared" ref="B51:G51" si="15">B33+B34-B37+B38</f>
        <v>-2.2118911147117615E-9</v>
      </c>
      <c r="C51" s="96">
        <f>C33+C34-C37+C38</f>
        <v>-9.3132257461547852E-10</v>
      </c>
      <c r="D51" s="96">
        <f>D33+D34-D37+D38</f>
        <v>0</v>
      </c>
      <c r="E51" s="96">
        <f t="shared" si="15"/>
        <v>0</v>
      </c>
      <c r="F51" s="96">
        <f t="shared" si="15"/>
        <v>0</v>
      </c>
      <c r="G51" s="97">
        <f t="shared" si="15"/>
        <v>0</v>
      </c>
      <c r="H51" s="39" t="s">
        <v>116</v>
      </c>
      <c r="I51" s="98"/>
    </row>
    <row r="52" spans="1:13" s="102" customFormat="1" ht="11.25">
      <c r="A52" s="99" t="s">
        <v>117</v>
      </c>
      <c r="B52" s="100" t="str">
        <f t="shared" ref="B52:G52" si="16">IF((-B24-B26-B28-B30)&lt;B35,"FALSE","OK")</f>
        <v>FALSE</v>
      </c>
      <c r="C52" s="100" t="str">
        <f t="shared" si="16"/>
        <v>FALSE</v>
      </c>
      <c r="D52" s="100" t="str">
        <f t="shared" si="16"/>
        <v>FALSE</v>
      </c>
      <c r="E52" s="100" t="str">
        <f t="shared" si="16"/>
        <v>FALSE</v>
      </c>
      <c r="F52" s="100" t="str">
        <f t="shared" si="16"/>
        <v>FALSE</v>
      </c>
      <c r="G52" s="100" t="str">
        <f t="shared" si="16"/>
        <v>FALSE</v>
      </c>
      <c r="H52" s="101" t="s">
        <v>118</v>
      </c>
    </row>
    <row r="53" spans="1:13">
      <c r="A53" s="103" t="s">
        <v>47</v>
      </c>
      <c r="B53" s="104" t="s">
        <v>48</v>
      </c>
      <c r="C53" s="105">
        <f>C2/B2-1</f>
        <v>6.6676837479287876E-2</v>
      </c>
      <c r="D53" s="105">
        <f>D2/C2-1</f>
        <v>3.8239493171678962E-3</v>
      </c>
      <c r="E53" s="105">
        <f>E2/D2-1</f>
        <v>2.7626448044962837E-2</v>
      </c>
      <c r="F53" s="105">
        <f>F2/E2-1</f>
        <v>2.9065551247072108E-2</v>
      </c>
      <c r="G53" s="105">
        <f>G2/F2-1</f>
        <v>2.5890889014985374E-2</v>
      </c>
    </row>
    <row r="54" spans="1:13">
      <c r="A54" s="103" t="s">
        <v>49</v>
      </c>
      <c r="B54" s="104" t="s">
        <v>48</v>
      </c>
      <c r="C54" s="105">
        <f>C13/B13-1</f>
        <v>0.13268757451774071</v>
      </c>
      <c r="D54" s="105">
        <f>D13/C13-1</f>
        <v>2.4056768240147131E-2</v>
      </c>
      <c r="E54" s="105">
        <f>E13/D13-1</f>
        <v>1.8653366583541109E-2</v>
      </c>
      <c r="F54" s="105">
        <f>F13/E13-1</f>
        <v>1.8678025851939006E-2</v>
      </c>
      <c r="G54" s="105">
        <f>G13/F13-1</f>
        <v>1.870226498018801E-2</v>
      </c>
    </row>
    <row r="55" spans="1:13">
      <c r="A55" s="103" t="s">
        <v>50</v>
      </c>
      <c r="B55" s="106">
        <f t="shared" ref="B55:G55" si="17">B2/B13</f>
        <v>1.0853424444760236</v>
      </c>
      <c r="C55" s="106">
        <f t="shared" si="17"/>
        <v>1.0220908856960291</v>
      </c>
      <c r="D55" s="106">
        <f t="shared" si="17"/>
        <v>1.0018969077306734</v>
      </c>
      <c r="E55" s="106">
        <f t="shared" si="17"/>
        <v>1.0107223854289071</v>
      </c>
      <c r="F55" s="106">
        <f t="shared" si="17"/>
        <v>1.021028786646595</v>
      </c>
      <c r="G55" s="106">
        <f t="shared" si="17"/>
        <v>1.0282338281275329</v>
      </c>
    </row>
    <row r="56" spans="1:13" ht="25.5" customHeight="1" thickBot="1"/>
    <row r="57" spans="1:13" ht="42.75" customHeight="1" thickBot="1">
      <c r="A57" s="1" t="s">
        <v>51</v>
      </c>
      <c r="B57" s="107"/>
      <c r="C57" s="107" t="s">
        <v>83</v>
      </c>
      <c r="D57" s="107" t="s">
        <v>0</v>
      </c>
      <c r="E57" s="107" t="s">
        <v>1</v>
      </c>
      <c r="F57" s="107" t="s">
        <v>2</v>
      </c>
      <c r="G57" s="108" t="s">
        <v>84</v>
      </c>
      <c r="H57" s="155" t="s">
        <v>119</v>
      </c>
      <c r="I57" s="156"/>
      <c r="J57" s="156"/>
      <c r="K57" s="156"/>
      <c r="L57" s="156"/>
      <c r="M57" s="156"/>
    </row>
    <row r="58" spans="1:13">
      <c r="A58" s="109" t="s">
        <v>52</v>
      </c>
      <c r="B58" s="110"/>
      <c r="C58" s="110">
        <f>SUM(C59:C60)</f>
        <v>0</v>
      </c>
      <c r="D58" s="110">
        <f>SUM(D59:D60)</f>
        <v>0</v>
      </c>
      <c r="E58" s="110">
        <f>SUM(E59:E60)</f>
        <v>0</v>
      </c>
      <c r="F58" s="110">
        <f>SUM(F59:F60)</f>
        <v>0</v>
      </c>
      <c r="G58" s="111">
        <f>SUM(G59:G60)</f>
        <v>0</v>
      </c>
      <c r="H58" s="80" t="s">
        <v>120</v>
      </c>
      <c r="I58" s="80"/>
      <c r="J58" s="25"/>
      <c r="K58" s="25"/>
    </row>
    <row r="59" spans="1:13">
      <c r="A59" s="112" t="s">
        <v>53</v>
      </c>
      <c r="B59" s="52"/>
      <c r="C59" s="20"/>
      <c r="D59" s="20"/>
      <c r="E59" s="20"/>
      <c r="F59" s="20"/>
      <c r="G59" s="21"/>
      <c r="H59" s="39"/>
    </row>
    <row r="60" spans="1:13">
      <c r="A60" s="112" t="s">
        <v>54</v>
      </c>
      <c r="B60" s="52"/>
      <c r="C60" s="20"/>
      <c r="D60" s="20"/>
      <c r="E60" s="20"/>
      <c r="F60" s="20"/>
      <c r="G60" s="21"/>
      <c r="H60" s="2" t="s">
        <v>121</v>
      </c>
    </row>
    <row r="61" spans="1:13" ht="14.1" customHeight="1">
      <c r="A61" s="109" t="s">
        <v>122</v>
      </c>
      <c r="B61" s="110"/>
      <c r="C61" s="110">
        <f>SUM(C62:C63)</f>
        <v>0</v>
      </c>
      <c r="D61" s="110">
        <f>SUM(D62:D63)</f>
        <v>0</v>
      </c>
      <c r="E61" s="110">
        <f>SUM(E62:E63)</f>
        <v>0</v>
      </c>
      <c r="F61" s="110">
        <f>SUM(F62:F63)</f>
        <v>0</v>
      </c>
      <c r="G61" s="111">
        <f>SUM(G62:G63)</f>
        <v>0</v>
      </c>
    </row>
    <row r="62" spans="1:13" ht="14.1" customHeight="1">
      <c r="A62" s="112" t="s">
        <v>53</v>
      </c>
      <c r="B62" s="52"/>
      <c r="C62" s="20"/>
      <c r="D62" s="20"/>
      <c r="E62" s="20"/>
      <c r="F62" s="20"/>
      <c r="G62" s="21"/>
    </row>
    <row r="63" spans="1:13" ht="14.1" customHeight="1">
      <c r="A63" s="112" t="s">
        <v>54</v>
      </c>
      <c r="B63" s="52"/>
      <c r="C63" s="20"/>
      <c r="D63" s="20"/>
      <c r="E63" s="20"/>
      <c r="F63" s="20"/>
      <c r="G63" s="21"/>
    </row>
    <row r="64" spans="1:13" ht="14.1" customHeight="1">
      <c r="A64" s="109" t="s">
        <v>55</v>
      </c>
      <c r="B64" s="110"/>
      <c r="C64" s="110">
        <f>SUM(C65:C66)</f>
        <v>33858</v>
      </c>
      <c r="D64" s="110">
        <f>SUM(D65:D66)</f>
        <v>0</v>
      </c>
      <c r="E64" s="110">
        <f>SUM(E65:E66)</f>
        <v>0</v>
      </c>
      <c r="F64" s="110">
        <f>SUM(F65:F66)</f>
        <v>0</v>
      </c>
      <c r="G64" s="111">
        <f>SUM(G65:G66)</f>
        <v>0</v>
      </c>
    </row>
    <row r="65" spans="1:8" ht="14.1" customHeight="1">
      <c r="A65" s="112" t="s">
        <v>53</v>
      </c>
      <c r="B65" s="52"/>
      <c r="C65" s="20">
        <f>C95</f>
        <v>28320</v>
      </c>
      <c r="D65" s="20"/>
      <c r="E65" s="20"/>
      <c r="F65" s="20"/>
      <c r="G65" s="21"/>
    </row>
    <row r="66" spans="1:8" ht="14.1" customHeight="1">
      <c r="A66" s="112" t="s">
        <v>54</v>
      </c>
      <c r="B66" s="52"/>
      <c r="C66" s="20">
        <f>C96</f>
        <v>5538</v>
      </c>
      <c r="D66" s="20"/>
      <c r="E66" s="20"/>
      <c r="F66" s="20"/>
      <c r="G66" s="21"/>
    </row>
    <row r="67" spans="1:8" ht="14.1" customHeight="1">
      <c r="A67" s="109" t="s">
        <v>56</v>
      </c>
      <c r="B67" s="110"/>
      <c r="C67" s="110">
        <f>SUM(C68:C69)</f>
        <v>991109</v>
      </c>
      <c r="D67" s="110">
        <f>SUM(D68:D69)</f>
        <v>613480</v>
      </c>
      <c r="E67" s="110">
        <f>SUM(E68:E69)</f>
        <v>1070000</v>
      </c>
      <c r="F67" s="110">
        <f>SUM(F68:F69)</f>
        <v>1020000</v>
      </c>
      <c r="G67" s="111">
        <f>SUM(G68:G69)</f>
        <v>520000</v>
      </c>
      <c r="H67" s="39"/>
    </row>
    <row r="68" spans="1:8" ht="14.1" customHeight="1">
      <c r="A68" s="112" t="s">
        <v>53</v>
      </c>
      <c r="B68" s="52"/>
      <c r="C68" s="20">
        <f t="shared" ref="C68:G69" si="18">C98+C101+C104+C107+C110</f>
        <v>100000</v>
      </c>
      <c r="D68" s="20">
        <f t="shared" si="18"/>
        <v>0</v>
      </c>
      <c r="E68" s="20">
        <f t="shared" si="18"/>
        <v>375000</v>
      </c>
      <c r="F68" s="20">
        <f t="shared" si="18"/>
        <v>375000</v>
      </c>
      <c r="G68" s="20">
        <f t="shared" si="18"/>
        <v>0</v>
      </c>
      <c r="H68" s="2" t="s">
        <v>123</v>
      </c>
    </row>
    <row r="69" spans="1:8" ht="14.1" customHeight="1">
      <c r="A69" s="112" t="s">
        <v>54</v>
      </c>
      <c r="B69" s="52"/>
      <c r="C69" s="20">
        <f t="shared" si="18"/>
        <v>891109</v>
      </c>
      <c r="D69" s="20">
        <f t="shared" si="18"/>
        <v>613480</v>
      </c>
      <c r="E69" s="20">
        <f t="shared" si="18"/>
        <v>695000</v>
      </c>
      <c r="F69" s="20">
        <f t="shared" si="18"/>
        <v>645000</v>
      </c>
      <c r="G69" s="20">
        <f t="shared" si="18"/>
        <v>520000</v>
      </c>
    </row>
    <row r="70" spans="1:8" ht="14.1" customHeight="1">
      <c r="A70" s="109" t="s">
        <v>57</v>
      </c>
      <c r="B70" s="52"/>
      <c r="C70" s="110">
        <f>SUM(C71:C72)</f>
        <v>0</v>
      </c>
      <c r="D70" s="110">
        <f>SUM(D71:D72)</f>
        <v>0</v>
      </c>
      <c r="E70" s="110">
        <f>SUM(E71:E72)</f>
        <v>0</v>
      </c>
      <c r="F70" s="110">
        <f>SUM(F71:F72)</f>
        <v>0</v>
      </c>
      <c r="G70" s="111">
        <f>SUM(G71:G72)</f>
        <v>0</v>
      </c>
    </row>
    <row r="71" spans="1:8" ht="14.1" customHeight="1">
      <c r="A71" s="112" t="s">
        <v>53</v>
      </c>
      <c r="B71" s="52"/>
      <c r="C71" s="20"/>
      <c r="D71" s="20"/>
      <c r="E71" s="20"/>
      <c r="F71" s="20"/>
      <c r="G71" s="21"/>
    </row>
    <row r="72" spans="1:8">
      <c r="A72" s="112" t="s">
        <v>54</v>
      </c>
      <c r="B72" s="52"/>
      <c r="C72" s="20"/>
      <c r="D72" s="20"/>
      <c r="E72" s="20"/>
      <c r="F72" s="20"/>
      <c r="G72" s="21"/>
    </row>
    <row r="73" spans="1:8">
      <c r="A73" s="109" t="s">
        <v>58</v>
      </c>
      <c r="B73" s="52"/>
      <c r="C73" s="110">
        <f>SUM(C74:C75)</f>
        <v>509466</v>
      </c>
      <c r="D73" s="110">
        <f>SUM(D74:D75)</f>
        <v>75000</v>
      </c>
      <c r="E73" s="110">
        <f>SUM(E74:E75)</f>
        <v>65000</v>
      </c>
      <c r="F73" s="110">
        <f>SUM(F74:F75)</f>
        <v>40000</v>
      </c>
      <c r="G73" s="111">
        <f>SUM(G74:G75)</f>
        <v>40000</v>
      </c>
    </row>
    <row r="74" spans="1:8">
      <c r="A74" s="112" t="s">
        <v>53</v>
      </c>
      <c r="B74" s="52"/>
      <c r="C74" s="20">
        <f t="shared" ref="C74:G75" si="19">C113+C116+C119+C122+C125</f>
        <v>258259</v>
      </c>
      <c r="D74" s="20">
        <f t="shared" si="19"/>
        <v>20000</v>
      </c>
      <c r="E74" s="20">
        <f t="shared" si="19"/>
        <v>20000</v>
      </c>
      <c r="F74" s="20">
        <f t="shared" si="19"/>
        <v>20000</v>
      </c>
      <c r="G74" s="20">
        <f t="shared" si="19"/>
        <v>20000</v>
      </c>
    </row>
    <row r="75" spans="1:8">
      <c r="A75" s="112" t="s">
        <v>54</v>
      </c>
      <c r="B75" s="52"/>
      <c r="C75" s="20">
        <f t="shared" si="19"/>
        <v>251207</v>
      </c>
      <c r="D75" s="20">
        <f t="shared" si="19"/>
        <v>55000</v>
      </c>
      <c r="E75" s="20">
        <f t="shared" si="19"/>
        <v>45000</v>
      </c>
      <c r="F75" s="20">
        <f t="shared" si="19"/>
        <v>20000</v>
      </c>
      <c r="G75" s="20">
        <f t="shared" si="19"/>
        <v>20000</v>
      </c>
    </row>
    <row r="76" spans="1:8">
      <c r="A76" s="109" t="s">
        <v>59</v>
      </c>
      <c r="B76" s="52"/>
      <c r="C76" s="110">
        <f>SUM(C77:C78)</f>
        <v>39463</v>
      </c>
      <c r="D76" s="110">
        <f>SUM(D77:D78)</f>
        <v>40000</v>
      </c>
      <c r="E76" s="110">
        <f>SUM(E77:E78)</f>
        <v>40000</v>
      </c>
      <c r="F76" s="110">
        <f>SUM(F77:F78)</f>
        <v>40000</v>
      </c>
      <c r="G76" s="111">
        <f>SUM(G77:G78)</f>
        <v>40000</v>
      </c>
    </row>
    <row r="77" spans="1:8">
      <c r="A77" s="112" t="s">
        <v>53</v>
      </c>
      <c r="B77" s="52"/>
      <c r="C77" s="20">
        <f t="shared" ref="C77:G78" si="20">C128</f>
        <v>0</v>
      </c>
      <c r="D77" s="20">
        <f t="shared" si="20"/>
        <v>0</v>
      </c>
      <c r="E77" s="20">
        <f t="shared" si="20"/>
        <v>0</v>
      </c>
      <c r="F77" s="20">
        <f t="shared" si="20"/>
        <v>0</v>
      </c>
      <c r="G77" s="20">
        <f t="shared" si="20"/>
        <v>0</v>
      </c>
    </row>
    <row r="78" spans="1:8">
      <c r="A78" s="112" t="s">
        <v>54</v>
      </c>
      <c r="B78" s="52"/>
      <c r="C78" s="20">
        <f t="shared" si="20"/>
        <v>39463</v>
      </c>
      <c r="D78" s="20">
        <f t="shared" si="20"/>
        <v>40000</v>
      </c>
      <c r="E78" s="20">
        <f t="shared" si="20"/>
        <v>40000</v>
      </c>
      <c r="F78" s="20">
        <f t="shared" si="20"/>
        <v>40000</v>
      </c>
      <c r="G78" s="20">
        <f t="shared" si="20"/>
        <v>40000</v>
      </c>
    </row>
    <row r="79" spans="1:8">
      <c r="A79" s="109" t="s">
        <v>60</v>
      </c>
      <c r="B79" s="52"/>
      <c r="C79" s="110">
        <f>SUM(C80:C81)</f>
        <v>268081</v>
      </c>
      <c r="D79" s="110">
        <f>SUM(D80:D81)</f>
        <v>90043.6</v>
      </c>
      <c r="E79" s="110">
        <f>SUM(E80:E81)</f>
        <v>0</v>
      </c>
      <c r="F79" s="110">
        <f>SUM(F80:F81)</f>
        <v>0</v>
      </c>
      <c r="G79" s="111">
        <f>SUM(G80:G81)</f>
        <v>0</v>
      </c>
    </row>
    <row r="80" spans="1:8">
      <c r="A80" s="112" t="s">
        <v>53</v>
      </c>
      <c r="B80" s="52"/>
      <c r="C80" s="20">
        <f t="shared" ref="C80:G81" si="21">C131+C134+C137+C140</f>
        <v>0</v>
      </c>
      <c r="D80" s="20">
        <f t="shared" si="21"/>
        <v>53451.6</v>
      </c>
      <c r="E80" s="20">
        <f t="shared" si="21"/>
        <v>0</v>
      </c>
      <c r="F80" s="20">
        <f t="shared" si="21"/>
        <v>0</v>
      </c>
      <c r="G80" s="20">
        <f t="shared" si="21"/>
        <v>0</v>
      </c>
    </row>
    <row r="81" spans="1:14">
      <c r="A81" s="112" t="s">
        <v>54</v>
      </c>
      <c r="B81" s="52"/>
      <c r="C81" s="20">
        <f t="shared" si="21"/>
        <v>268081</v>
      </c>
      <c r="D81" s="20">
        <f t="shared" si="21"/>
        <v>36592</v>
      </c>
      <c r="E81" s="20">
        <f t="shared" si="21"/>
        <v>0</v>
      </c>
      <c r="F81" s="20">
        <f t="shared" si="21"/>
        <v>0</v>
      </c>
      <c r="G81" s="20">
        <f t="shared" si="21"/>
        <v>0</v>
      </c>
    </row>
    <row r="82" spans="1:14">
      <c r="A82" s="109" t="s">
        <v>61</v>
      </c>
      <c r="B82" s="52"/>
      <c r="C82" s="110">
        <f>SUM(C83:C84)</f>
        <v>77676</v>
      </c>
      <c r="D82" s="110">
        <f>SUM(D83:D84)</f>
        <v>0</v>
      </c>
      <c r="E82" s="110">
        <f>SUM(E83:E84)</f>
        <v>0</v>
      </c>
      <c r="F82" s="110">
        <f>SUM(F83:F84)</f>
        <v>0</v>
      </c>
      <c r="G82" s="111">
        <f>SUM(G83:G84)</f>
        <v>0</v>
      </c>
    </row>
    <row r="83" spans="1:14">
      <c r="A83" s="112" t="s">
        <v>53</v>
      </c>
      <c r="B83" s="52"/>
      <c r="C83" s="20">
        <f t="shared" ref="C83:G84" si="22">C143+C146+C149</f>
        <v>0</v>
      </c>
      <c r="D83" s="20">
        <f t="shared" si="22"/>
        <v>0</v>
      </c>
      <c r="E83" s="20">
        <f t="shared" si="22"/>
        <v>0</v>
      </c>
      <c r="F83" s="20">
        <f t="shared" si="22"/>
        <v>0</v>
      </c>
      <c r="G83" s="20">
        <f t="shared" si="22"/>
        <v>0</v>
      </c>
    </row>
    <row r="84" spans="1:14">
      <c r="A84" s="112" t="s">
        <v>54</v>
      </c>
      <c r="B84" s="52"/>
      <c r="C84" s="20">
        <f t="shared" si="22"/>
        <v>77676</v>
      </c>
      <c r="D84" s="20">
        <f t="shared" si="22"/>
        <v>0</v>
      </c>
      <c r="E84" s="20">
        <f t="shared" si="22"/>
        <v>0</v>
      </c>
      <c r="F84" s="20">
        <f t="shared" si="22"/>
        <v>0</v>
      </c>
      <c r="G84" s="20">
        <f t="shared" si="22"/>
        <v>0</v>
      </c>
    </row>
    <row r="85" spans="1:14">
      <c r="A85" s="109" t="s">
        <v>62</v>
      </c>
      <c r="B85" s="110"/>
      <c r="C85" s="110">
        <f>SUM(C86:C87)</f>
        <v>86999</v>
      </c>
      <c r="D85" s="110">
        <f>SUM(D86:D87)</f>
        <v>0</v>
      </c>
      <c r="E85" s="110">
        <f>SUM(E86:E87)</f>
        <v>0</v>
      </c>
      <c r="F85" s="110">
        <f>SUM(F86:F87)</f>
        <v>0</v>
      </c>
      <c r="G85" s="111">
        <f>SUM(G86:G87)</f>
        <v>0</v>
      </c>
    </row>
    <row r="86" spans="1:14">
      <c r="A86" s="112" t="s">
        <v>53</v>
      </c>
      <c r="B86" s="52"/>
      <c r="C86" s="20">
        <f t="shared" ref="C86:G87" si="23">C152</f>
        <v>85640</v>
      </c>
      <c r="D86" s="20">
        <f t="shared" si="23"/>
        <v>0</v>
      </c>
      <c r="E86" s="20">
        <f t="shared" si="23"/>
        <v>0</v>
      </c>
      <c r="F86" s="20">
        <f t="shared" si="23"/>
        <v>0</v>
      </c>
      <c r="G86" s="20">
        <f t="shared" si="23"/>
        <v>0</v>
      </c>
    </row>
    <row r="87" spans="1:14" s="2" customFormat="1" ht="12.75">
      <c r="A87" s="112" t="s">
        <v>54</v>
      </c>
      <c r="B87" s="52"/>
      <c r="C87" s="20">
        <f t="shared" si="23"/>
        <v>1359</v>
      </c>
      <c r="D87" s="20">
        <f t="shared" si="23"/>
        <v>0</v>
      </c>
      <c r="E87" s="20">
        <f t="shared" si="23"/>
        <v>0</v>
      </c>
      <c r="F87" s="20">
        <f t="shared" si="23"/>
        <v>0</v>
      </c>
      <c r="G87" s="20">
        <f t="shared" si="23"/>
        <v>0</v>
      </c>
    </row>
    <row r="88" spans="1:14" s="2" customFormat="1" ht="12.75">
      <c r="A88" s="113" t="s">
        <v>63</v>
      </c>
      <c r="B88" s="114"/>
      <c r="C88" s="114">
        <f>SUM(C89:C90)</f>
        <v>2006652</v>
      </c>
      <c r="D88" s="114">
        <f>SUM(D89:D90)</f>
        <v>818523.6</v>
      </c>
      <c r="E88" s="114">
        <f>SUM(E89:E90)</f>
        <v>1175000</v>
      </c>
      <c r="F88" s="114">
        <f>SUM(F89:F90)</f>
        <v>1100000</v>
      </c>
      <c r="G88" s="115">
        <f>SUM(G89:G90)</f>
        <v>600000</v>
      </c>
      <c r="N88" s="116"/>
    </row>
    <row r="89" spans="1:14">
      <c r="A89" s="112" t="s">
        <v>53</v>
      </c>
      <c r="B89" s="52"/>
      <c r="C89" s="52">
        <f t="shared" ref="C89:G90" si="24">C59+C62+C65+C68+C71+C74+C77+C80+C83+C86</f>
        <v>472219</v>
      </c>
      <c r="D89" s="52">
        <f t="shared" si="24"/>
        <v>73451.600000000006</v>
      </c>
      <c r="E89" s="52">
        <f t="shared" si="24"/>
        <v>395000</v>
      </c>
      <c r="F89" s="52">
        <f t="shared" si="24"/>
        <v>395000</v>
      </c>
      <c r="G89" s="52">
        <f t="shared" si="24"/>
        <v>20000</v>
      </c>
    </row>
    <row r="90" spans="1:14" ht="16.5" thickBot="1">
      <c r="A90" s="117" t="s">
        <v>54</v>
      </c>
      <c r="B90" s="118"/>
      <c r="C90" s="119">
        <f t="shared" si="24"/>
        <v>1534433</v>
      </c>
      <c r="D90" s="119">
        <f t="shared" si="24"/>
        <v>745072</v>
      </c>
      <c r="E90" s="119">
        <f t="shared" si="24"/>
        <v>780000</v>
      </c>
      <c r="F90" s="119">
        <f t="shared" si="24"/>
        <v>705000</v>
      </c>
      <c r="G90" s="119">
        <f t="shared" si="24"/>
        <v>580000</v>
      </c>
    </row>
    <row r="91" spans="1:14" ht="19.5" customHeight="1">
      <c r="A91" s="120" t="s">
        <v>64</v>
      </c>
      <c r="C91" s="121">
        <f>C23+C88</f>
        <v>0</v>
      </c>
      <c r="D91" s="122">
        <f>D23+D88</f>
        <v>0</v>
      </c>
      <c r="E91" s="122">
        <f>E23+E88</f>
        <v>0</v>
      </c>
      <c r="F91" s="122">
        <f>F23+F88</f>
        <v>0</v>
      </c>
      <c r="G91" s="122">
        <f>G23+G88</f>
        <v>0</v>
      </c>
      <c r="H91" s="89" t="s">
        <v>116</v>
      </c>
    </row>
    <row r="93" spans="1:14">
      <c r="A93" s="39" t="s">
        <v>65</v>
      </c>
      <c r="B93" s="89" t="s">
        <v>124</v>
      </c>
      <c r="C93" s="89"/>
      <c r="D93" s="89"/>
      <c r="E93" s="89"/>
      <c r="F93" s="89"/>
    </row>
    <row r="94" spans="1:14">
      <c r="A94" s="123" t="s">
        <v>66</v>
      </c>
      <c r="B94" s="124"/>
      <c r="C94" s="110">
        <f>SUM(C95:C96)</f>
        <v>33858</v>
      </c>
      <c r="D94" s="110">
        <f>SUM(D95:D96)</f>
        <v>0</v>
      </c>
      <c r="E94" s="110">
        <f>SUM(E95:E96)</f>
        <v>0</v>
      </c>
      <c r="F94" s="110">
        <f>SUM(F95:F96)</f>
        <v>0</v>
      </c>
      <c r="G94" s="111">
        <f>SUM(G95:G96)</f>
        <v>0</v>
      </c>
    </row>
    <row r="95" spans="1:14">
      <c r="A95" s="112" t="s">
        <v>53</v>
      </c>
      <c r="B95" s="124"/>
      <c r="C95" s="20">
        <v>28320</v>
      </c>
      <c r="D95" s="125"/>
      <c r="E95" s="125"/>
      <c r="F95" s="125"/>
      <c r="G95" s="125"/>
    </row>
    <row r="96" spans="1:14">
      <c r="A96" s="112" t="s">
        <v>54</v>
      </c>
      <c r="B96" s="124"/>
      <c r="C96" s="125">
        <v>5538</v>
      </c>
      <c r="D96" s="125"/>
      <c r="E96" s="125"/>
      <c r="F96" s="125"/>
      <c r="G96" s="125"/>
    </row>
    <row r="97" spans="1:7">
      <c r="A97" s="126" t="s">
        <v>67</v>
      </c>
      <c r="B97" s="124"/>
      <c r="C97" s="110">
        <f>SUM(C98:C99)</f>
        <v>858109</v>
      </c>
      <c r="D97" s="110">
        <f>SUM(D98:D99)</f>
        <v>500000</v>
      </c>
      <c r="E97" s="110">
        <f>SUM(E98:E99)</f>
        <v>500000</v>
      </c>
      <c r="F97" s="110">
        <f>SUM(F98:F99)</f>
        <v>500000</v>
      </c>
      <c r="G97" s="111">
        <f>SUM(G98:G99)</f>
        <v>500000</v>
      </c>
    </row>
    <row r="98" spans="1:7">
      <c r="A98" s="112" t="s">
        <v>53</v>
      </c>
      <c r="B98" s="124"/>
      <c r="C98" s="125">
        <v>100000</v>
      </c>
      <c r="D98" s="125"/>
      <c r="E98" s="125"/>
      <c r="F98" s="125"/>
      <c r="G98" s="125"/>
    </row>
    <row r="99" spans="1:7">
      <c r="A99" s="112" t="s">
        <v>54</v>
      </c>
      <c r="B99" s="124"/>
      <c r="C99" s="125">
        <v>758109</v>
      </c>
      <c r="D99" s="125">
        <v>500000</v>
      </c>
      <c r="E99" s="125">
        <v>500000</v>
      </c>
      <c r="F99" s="125">
        <v>500000</v>
      </c>
      <c r="G99" s="125">
        <v>500000</v>
      </c>
    </row>
    <row r="100" spans="1:7">
      <c r="A100" s="127" t="s">
        <v>68</v>
      </c>
      <c r="B100" s="124"/>
      <c r="C100" s="110">
        <f>SUM(C101:C102)</f>
        <v>40000</v>
      </c>
      <c r="D100" s="110">
        <f>SUM(D101:D102)</f>
        <v>20000</v>
      </c>
      <c r="E100" s="110">
        <f>SUM(E101:E102)</f>
        <v>20000</v>
      </c>
      <c r="F100" s="110">
        <f>SUM(F101:F102)</f>
        <v>20000</v>
      </c>
      <c r="G100" s="111">
        <f>SUM(G101:G102)</f>
        <v>20000</v>
      </c>
    </row>
    <row r="101" spans="1:7">
      <c r="A101" s="112" t="s">
        <v>53</v>
      </c>
      <c r="B101" s="124"/>
      <c r="C101" s="125"/>
      <c r="D101" s="125"/>
      <c r="E101" s="125"/>
      <c r="F101" s="125"/>
      <c r="G101" s="125"/>
    </row>
    <row r="102" spans="1:7">
      <c r="A102" s="112" t="s">
        <v>54</v>
      </c>
      <c r="B102" s="124"/>
      <c r="C102" s="125">
        <v>40000</v>
      </c>
      <c r="D102" s="125">
        <v>20000</v>
      </c>
      <c r="E102" s="125">
        <v>20000</v>
      </c>
      <c r="F102" s="125">
        <v>20000</v>
      </c>
      <c r="G102" s="125">
        <v>20000</v>
      </c>
    </row>
    <row r="103" spans="1:7" ht="26.25">
      <c r="A103" s="3" t="s">
        <v>70</v>
      </c>
      <c r="B103" s="124"/>
      <c r="C103" s="110">
        <f>SUM(C104:C105)</f>
        <v>50000</v>
      </c>
      <c r="D103" s="110">
        <f>SUM(D104:D105)</f>
        <v>0</v>
      </c>
      <c r="E103" s="110">
        <f>SUM(E104:E105)</f>
        <v>0</v>
      </c>
      <c r="F103" s="110">
        <f>SUM(F104:F105)</f>
        <v>0</v>
      </c>
      <c r="G103" s="111">
        <f>SUM(G104:G105)</f>
        <v>0</v>
      </c>
    </row>
    <row r="104" spans="1:7">
      <c r="A104" s="112" t="s">
        <v>53</v>
      </c>
      <c r="B104" s="124"/>
      <c r="C104" s="20"/>
      <c r="D104" s="125"/>
      <c r="E104" s="125"/>
      <c r="F104" s="125"/>
      <c r="G104" s="125"/>
    </row>
    <row r="105" spans="1:7">
      <c r="A105" s="112" t="s">
        <v>54</v>
      </c>
      <c r="B105" s="124"/>
      <c r="C105" s="125">
        <v>50000</v>
      </c>
      <c r="D105" s="125"/>
      <c r="E105" s="125"/>
      <c r="F105" s="125"/>
      <c r="G105" s="125"/>
    </row>
    <row r="106" spans="1:7">
      <c r="A106" s="127" t="s">
        <v>69</v>
      </c>
      <c r="B106" s="124"/>
      <c r="C106" s="110">
        <f>SUM(C107:C108)</f>
        <v>20000</v>
      </c>
      <c r="D106" s="110">
        <f>SUM(D107:D108)</f>
        <v>50000</v>
      </c>
      <c r="E106" s="110">
        <f>SUM(E107:E108)</f>
        <v>50000</v>
      </c>
      <c r="F106" s="110">
        <f>SUM(F107:F108)</f>
        <v>0</v>
      </c>
      <c r="G106" s="111">
        <f>SUM(G107:G108)</f>
        <v>0</v>
      </c>
    </row>
    <row r="107" spans="1:7">
      <c r="A107" s="112" t="s">
        <v>53</v>
      </c>
      <c r="B107" s="124"/>
      <c r="C107" s="125">
        <v>0</v>
      </c>
      <c r="D107" s="125"/>
      <c r="E107" s="125"/>
      <c r="F107" s="125"/>
      <c r="G107" s="125"/>
    </row>
    <row r="108" spans="1:7">
      <c r="A108" s="112" t="s">
        <v>54</v>
      </c>
      <c r="B108" s="124"/>
      <c r="C108" s="128">
        <v>20000</v>
      </c>
      <c r="D108" s="125">
        <v>50000</v>
      </c>
      <c r="E108" s="125">
        <v>50000</v>
      </c>
      <c r="F108" s="125"/>
      <c r="G108" s="125"/>
    </row>
    <row r="109" spans="1:7">
      <c r="A109" s="127" t="s">
        <v>125</v>
      </c>
      <c r="B109" s="124"/>
      <c r="C109" s="110">
        <f>SUM(C110:C111)</f>
        <v>23000</v>
      </c>
      <c r="D109" s="110">
        <f>SUM(D110:D111)</f>
        <v>43480</v>
      </c>
      <c r="E109" s="110">
        <f>SUM(E110:E111)</f>
        <v>500000</v>
      </c>
      <c r="F109" s="110">
        <f>SUM(F110:F111)</f>
        <v>500000</v>
      </c>
      <c r="G109" s="111">
        <f>SUM(G110:G111)</f>
        <v>0</v>
      </c>
    </row>
    <row r="110" spans="1:7">
      <c r="A110" s="112" t="s">
        <v>53</v>
      </c>
      <c r="B110" s="124"/>
      <c r="C110" s="125">
        <v>0</v>
      </c>
      <c r="D110" s="125"/>
      <c r="E110" s="125">
        <v>375000</v>
      </c>
      <c r="F110" s="125">
        <v>375000</v>
      </c>
      <c r="G110" s="125"/>
    </row>
    <row r="111" spans="1:7">
      <c r="A111" s="112" t="s">
        <v>54</v>
      </c>
      <c r="B111" s="124"/>
      <c r="C111" s="125">
        <v>23000</v>
      </c>
      <c r="D111" s="125">
        <v>43480</v>
      </c>
      <c r="E111" s="125">
        <v>125000</v>
      </c>
      <c r="F111" s="125">
        <v>125000</v>
      </c>
      <c r="G111" s="125"/>
    </row>
    <row r="112" spans="1:7" ht="26.25">
      <c r="A112" s="129" t="s">
        <v>71</v>
      </c>
      <c r="B112" s="124"/>
      <c r="C112" s="110">
        <f>SUM(C113:C114)</f>
        <v>417997</v>
      </c>
      <c r="D112" s="110">
        <f>SUM(D113:D114)</f>
        <v>0</v>
      </c>
      <c r="E112" s="110">
        <f>SUM(E113:E114)</f>
        <v>0</v>
      </c>
      <c r="F112" s="110">
        <f>SUM(F113:F114)</f>
        <v>0</v>
      </c>
      <c r="G112" s="111">
        <f>SUM(G113:G114)</f>
        <v>0</v>
      </c>
    </row>
    <row r="113" spans="1:7">
      <c r="A113" s="112" t="s">
        <v>53</v>
      </c>
      <c r="B113" s="124"/>
      <c r="C113" s="125">
        <v>238259</v>
      </c>
      <c r="D113" s="125"/>
      <c r="E113" s="125"/>
      <c r="F113" s="125"/>
      <c r="G113" s="125"/>
    </row>
    <row r="114" spans="1:7">
      <c r="A114" s="112" t="s">
        <v>54</v>
      </c>
      <c r="B114" s="124"/>
      <c r="C114" s="125">
        <v>179738</v>
      </c>
      <c r="D114" s="125"/>
      <c r="E114" s="125"/>
      <c r="F114" s="125"/>
      <c r="G114" s="125"/>
    </row>
    <row r="115" spans="1:7">
      <c r="A115" s="126" t="s">
        <v>126</v>
      </c>
      <c r="B115" s="124"/>
      <c r="C115" s="110">
        <f>SUM(C116:C117)</f>
        <v>20000</v>
      </c>
      <c r="D115" s="110">
        <f>SUM(D116:D117)</f>
        <v>0</v>
      </c>
      <c r="E115" s="110">
        <f>SUM(E116:E117)</f>
        <v>0</v>
      </c>
      <c r="F115" s="110">
        <f>SUM(F116:F117)</f>
        <v>0</v>
      </c>
      <c r="G115" s="111">
        <f>SUM(G116:G117)</f>
        <v>0</v>
      </c>
    </row>
    <row r="116" spans="1:7">
      <c r="A116" s="112" t="s">
        <v>53</v>
      </c>
      <c r="B116" s="124"/>
      <c r="C116" s="125">
        <v>0</v>
      </c>
      <c r="D116" s="125"/>
      <c r="E116" s="125"/>
      <c r="F116" s="125"/>
      <c r="G116" s="125"/>
    </row>
    <row r="117" spans="1:7">
      <c r="A117" s="112" t="s">
        <v>54</v>
      </c>
      <c r="B117" s="124"/>
      <c r="C117" s="125">
        <v>20000</v>
      </c>
      <c r="D117" s="125"/>
      <c r="E117" s="125"/>
      <c r="F117" s="125"/>
      <c r="G117" s="125"/>
    </row>
    <row r="118" spans="1:7">
      <c r="A118" s="126" t="s">
        <v>127</v>
      </c>
      <c r="B118" s="124"/>
      <c r="C118" s="110">
        <f>SUM(C119:C120)</f>
        <v>31469</v>
      </c>
      <c r="D118" s="110">
        <f>SUM(D119:D120)</f>
        <v>0</v>
      </c>
      <c r="E118" s="110">
        <f>SUM(E119:E120)</f>
        <v>0</v>
      </c>
      <c r="F118" s="110">
        <f>SUM(F119:F120)</f>
        <v>0</v>
      </c>
      <c r="G118" s="111">
        <f>SUM(G119:G120)</f>
        <v>0</v>
      </c>
    </row>
    <row r="119" spans="1:7">
      <c r="A119" s="112" t="s">
        <v>53</v>
      </c>
      <c r="B119" s="124"/>
      <c r="C119" s="125">
        <v>0</v>
      </c>
      <c r="D119" s="125"/>
      <c r="E119" s="125"/>
      <c r="F119" s="125"/>
      <c r="G119" s="125"/>
    </row>
    <row r="120" spans="1:7">
      <c r="A120" s="112" t="s">
        <v>54</v>
      </c>
      <c r="B120" s="124"/>
      <c r="C120" s="125">
        <v>31469</v>
      </c>
      <c r="D120" s="125"/>
      <c r="E120" s="125"/>
      <c r="F120" s="125"/>
      <c r="G120" s="125"/>
    </row>
    <row r="121" spans="1:7">
      <c r="A121" s="127" t="s">
        <v>128</v>
      </c>
      <c r="B121" s="124"/>
      <c r="C121" s="110">
        <f>SUM(C122:C123)</f>
        <v>40000</v>
      </c>
      <c r="D121" s="110">
        <f>SUM(D122:D123)</f>
        <v>40000</v>
      </c>
      <c r="E121" s="110">
        <f>SUM(E122:E123)</f>
        <v>40000</v>
      </c>
      <c r="F121" s="110">
        <f>SUM(F122:F123)</f>
        <v>40000</v>
      </c>
      <c r="G121" s="111">
        <f>SUM(G122:G123)</f>
        <v>40000</v>
      </c>
    </row>
    <row r="122" spans="1:7">
      <c r="A122" s="112" t="s">
        <v>53</v>
      </c>
      <c r="B122" s="124"/>
      <c r="C122" s="125">
        <v>20000</v>
      </c>
      <c r="D122" s="125">
        <v>20000</v>
      </c>
      <c r="E122" s="125">
        <v>20000</v>
      </c>
      <c r="F122" s="125">
        <v>20000</v>
      </c>
      <c r="G122" s="125">
        <v>20000</v>
      </c>
    </row>
    <row r="123" spans="1:7">
      <c r="A123" s="112" t="s">
        <v>54</v>
      </c>
      <c r="B123" s="124"/>
      <c r="C123" s="125">
        <v>20000</v>
      </c>
      <c r="D123" s="125">
        <v>20000</v>
      </c>
      <c r="E123" s="125">
        <v>20000</v>
      </c>
      <c r="F123" s="125">
        <v>20000</v>
      </c>
      <c r="G123" s="125">
        <v>20000</v>
      </c>
    </row>
    <row r="124" spans="1:7" ht="39">
      <c r="A124" s="129" t="s">
        <v>129</v>
      </c>
      <c r="B124" s="124"/>
      <c r="C124" s="110">
        <f>SUM(C125:C126)</f>
        <v>0</v>
      </c>
      <c r="D124" s="110">
        <f>SUM(D125:D126)</f>
        <v>35000</v>
      </c>
      <c r="E124" s="110">
        <f>SUM(E125:E126)</f>
        <v>25000</v>
      </c>
      <c r="F124" s="110">
        <f>SUM(F125:F126)</f>
        <v>0</v>
      </c>
      <c r="G124" s="111">
        <f>SUM(G125:G126)</f>
        <v>0</v>
      </c>
    </row>
    <row r="125" spans="1:7">
      <c r="A125" s="112" t="s">
        <v>53</v>
      </c>
      <c r="B125" s="124"/>
      <c r="C125" s="125">
        <v>0</v>
      </c>
      <c r="D125" s="125"/>
      <c r="E125" s="125"/>
      <c r="F125" s="125"/>
      <c r="G125" s="125"/>
    </row>
    <row r="126" spans="1:7">
      <c r="A126" s="112" t="s">
        <v>54</v>
      </c>
      <c r="B126" s="124"/>
      <c r="C126" s="125">
        <v>0</v>
      </c>
      <c r="D126" s="125">
        <v>35000</v>
      </c>
      <c r="E126" s="125">
        <v>25000</v>
      </c>
      <c r="F126" s="125"/>
      <c r="G126" s="125"/>
    </row>
    <row r="127" spans="1:7">
      <c r="A127" s="127" t="s">
        <v>130</v>
      </c>
      <c r="B127" s="124"/>
      <c r="C127" s="110">
        <f>SUM(C128:C129)</f>
        <v>39463</v>
      </c>
      <c r="D127" s="110">
        <f>SUM(D128:D129)</f>
        <v>40000</v>
      </c>
      <c r="E127" s="110">
        <f>SUM(E128:E129)</f>
        <v>40000</v>
      </c>
      <c r="F127" s="110">
        <f>SUM(F128:F129)</f>
        <v>40000</v>
      </c>
      <c r="G127" s="111">
        <f>SUM(G128:G129)</f>
        <v>40000</v>
      </c>
    </row>
    <row r="128" spans="1:7">
      <c r="A128" s="112" t="s">
        <v>53</v>
      </c>
      <c r="B128" s="124"/>
      <c r="C128" s="125">
        <v>0</v>
      </c>
      <c r="D128" s="125"/>
      <c r="E128" s="125"/>
      <c r="F128" s="125"/>
      <c r="G128" s="125"/>
    </row>
    <row r="129" spans="1:7">
      <c r="A129" s="112" t="s">
        <v>54</v>
      </c>
      <c r="B129" s="124"/>
      <c r="C129" s="125">
        <v>39463</v>
      </c>
      <c r="D129" s="125">
        <v>40000</v>
      </c>
      <c r="E129" s="125">
        <v>40000</v>
      </c>
      <c r="F129" s="125">
        <v>40000</v>
      </c>
      <c r="G129" s="125">
        <v>40000</v>
      </c>
    </row>
    <row r="130" spans="1:7">
      <c r="A130" s="127" t="s">
        <v>72</v>
      </c>
      <c r="B130" s="124"/>
      <c r="C130" s="110">
        <f>SUM(C131:C132)</f>
        <v>158880</v>
      </c>
      <c r="D130" s="110">
        <f>SUM(D131:D132)</f>
        <v>0</v>
      </c>
      <c r="E130" s="110">
        <f>SUM(E131:E132)</f>
        <v>0</v>
      </c>
      <c r="F130" s="110">
        <f>SUM(F131:F132)</f>
        <v>0</v>
      </c>
      <c r="G130" s="111">
        <f>SUM(G131:G132)</f>
        <v>0</v>
      </c>
    </row>
    <row r="131" spans="1:7">
      <c r="A131" s="112" t="s">
        <v>53</v>
      </c>
      <c r="B131" s="124"/>
      <c r="C131" s="125"/>
      <c r="D131" s="125"/>
      <c r="E131" s="125"/>
      <c r="F131" s="125"/>
      <c r="G131" s="125"/>
    </row>
    <row r="132" spans="1:7">
      <c r="A132" s="112" t="s">
        <v>54</v>
      </c>
      <c r="B132" s="124"/>
      <c r="C132" s="125">
        <v>158880</v>
      </c>
      <c r="D132" s="125"/>
      <c r="E132" s="125"/>
      <c r="F132" s="125"/>
      <c r="G132" s="125"/>
    </row>
    <row r="133" spans="1:7">
      <c r="A133" s="127" t="s">
        <v>131</v>
      </c>
      <c r="B133" s="124"/>
      <c r="C133" s="110">
        <f>SUM(C134:C135)</f>
        <v>839</v>
      </c>
      <c r="D133" s="110">
        <f>SUM(D134:D135)</f>
        <v>83521.600000000006</v>
      </c>
      <c r="E133" s="110">
        <f>SUM(E134:E135)</f>
        <v>0</v>
      </c>
      <c r="F133" s="110">
        <f>SUM(F134:F135)</f>
        <v>0</v>
      </c>
      <c r="G133" s="111">
        <f>SUM(G134:G135)</f>
        <v>0</v>
      </c>
    </row>
    <row r="134" spans="1:7">
      <c r="A134" s="112" t="s">
        <v>53</v>
      </c>
      <c r="B134" s="124"/>
      <c r="C134" s="125"/>
      <c r="D134" s="125">
        <v>53451.6</v>
      </c>
      <c r="E134" s="125"/>
      <c r="F134" s="125"/>
      <c r="G134" s="125"/>
    </row>
    <row r="135" spans="1:7">
      <c r="A135" s="112" t="s">
        <v>54</v>
      </c>
      <c r="B135" s="124"/>
      <c r="C135" s="125">
        <v>839</v>
      </c>
      <c r="D135" s="125">
        <v>30070</v>
      </c>
      <c r="E135" s="125"/>
      <c r="F135" s="125"/>
      <c r="G135" s="125"/>
    </row>
    <row r="136" spans="1:7">
      <c r="A136" s="127" t="s">
        <v>132</v>
      </c>
      <c r="B136" s="124"/>
      <c r="C136" s="110">
        <f>SUM(C137:C138)</f>
        <v>49664</v>
      </c>
      <c r="D136" s="110">
        <f>SUM(D137:D138)</f>
        <v>0</v>
      </c>
      <c r="E136" s="110">
        <f>SUM(E137:E138)</f>
        <v>0</v>
      </c>
      <c r="F136" s="110">
        <f>SUM(F137:F138)</f>
        <v>0</v>
      </c>
      <c r="G136" s="111">
        <f>SUM(G137:G138)</f>
        <v>0</v>
      </c>
    </row>
    <row r="137" spans="1:7">
      <c r="A137" s="112" t="s">
        <v>53</v>
      </c>
      <c r="B137" s="124"/>
      <c r="C137" s="125"/>
      <c r="D137" s="125"/>
      <c r="E137" s="125"/>
      <c r="F137" s="125"/>
      <c r="G137" s="125"/>
    </row>
    <row r="138" spans="1:7">
      <c r="A138" s="112" t="s">
        <v>54</v>
      </c>
      <c r="B138" s="124"/>
      <c r="C138" s="125">
        <v>49664</v>
      </c>
      <c r="D138" s="125"/>
      <c r="E138" s="125"/>
      <c r="F138" s="125"/>
      <c r="G138" s="125"/>
    </row>
    <row r="139" spans="1:7" ht="26.25">
      <c r="A139" s="127" t="s">
        <v>133</v>
      </c>
      <c r="B139" s="124"/>
      <c r="C139" s="110">
        <f>SUM(C140:C141)</f>
        <v>58698</v>
      </c>
      <c r="D139" s="110">
        <f>SUM(D140:D141)</f>
        <v>6522</v>
      </c>
      <c r="E139" s="110">
        <f>SUM(E140:E141)</f>
        <v>0</v>
      </c>
      <c r="F139" s="110">
        <f>SUM(F140:F141)</f>
        <v>0</v>
      </c>
      <c r="G139" s="111">
        <f>SUM(G140:G141)</f>
        <v>0</v>
      </c>
    </row>
    <row r="140" spans="1:7">
      <c r="A140" s="112" t="s">
        <v>53</v>
      </c>
      <c r="B140" s="124"/>
      <c r="C140" s="125"/>
      <c r="D140" s="125"/>
      <c r="E140" s="125"/>
      <c r="F140" s="125"/>
      <c r="G140" s="125"/>
    </row>
    <row r="141" spans="1:7">
      <c r="A141" s="112" t="s">
        <v>54</v>
      </c>
      <c r="B141" s="124"/>
      <c r="C141" s="125">
        <v>58698</v>
      </c>
      <c r="D141" s="125">
        <v>6522</v>
      </c>
      <c r="E141" s="125"/>
      <c r="F141" s="125"/>
      <c r="G141" s="125"/>
    </row>
    <row r="142" spans="1:7">
      <c r="A142" s="127" t="s">
        <v>134</v>
      </c>
      <c r="B142" s="124"/>
      <c r="C142" s="110">
        <f>SUM(C143:C144)</f>
        <v>22775</v>
      </c>
      <c r="D142" s="110">
        <f>SUM(D143:D144)</f>
        <v>0</v>
      </c>
      <c r="E142" s="110">
        <f>SUM(E143:E144)</f>
        <v>0</v>
      </c>
      <c r="F142" s="110">
        <f>SUM(F143:F144)</f>
        <v>0</v>
      </c>
      <c r="G142" s="111">
        <f>SUM(G143:G144)</f>
        <v>0</v>
      </c>
    </row>
    <row r="143" spans="1:7">
      <c r="A143" s="112" t="s">
        <v>53</v>
      </c>
      <c r="B143" s="124"/>
      <c r="C143" s="125"/>
      <c r="D143" s="125"/>
      <c r="E143" s="125"/>
      <c r="F143" s="125"/>
      <c r="G143" s="125"/>
    </row>
    <row r="144" spans="1:7">
      <c r="A144" s="112" t="s">
        <v>54</v>
      </c>
      <c r="B144" s="124"/>
      <c r="C144" s="125">
        <v>22775</v>
      </c>
      <c r="D144" s="125"/>
      <c r="E144" s="125"/>
      <c r="F144" s="125"/>
      <c r="G144" s="125"/>
    </row>
    <row r="145" spans="1:7" ht="26.25">
      <c r="A145" s="127" t="s">
        <v>135</v>
      </c>
      <c r="B145" s="124"/>
      <c r="C145" s="110">
        <f>SUM(C146:C147)</f>
        <v>27901</v>
      </c>
      <c r="D145" s="110">
        <f>SUM(D146:D147)</f>
        <v>0</v>
      </c>
      <c r="E145" s="110">
        <f>SUM(E146:E147)</f>
        <v>0</v>
      </c>
      <c r="F145" s="110">
        <f>SUM(F146:F147)</f>
        <v>0</v>
      </c>
      <c r="G145" s="111">
        <f>SUM(G146:G147)</f>
        <v>0</v>
      </c>
    </row>
    <row r="146" spans="1:7">
      <c r="A146" s="112" t="s">
        <v>53</v>
      </c>
      <c r="B146" s="124"/>
      <c r="C146" s="125"/>
      <c r="D146" s="125"/>
      <c r="E146" s="125"/>
      <c r="F146" s="125"/>
      <c r="G146" s="125"/>
    </row>
    <row r="147" spans="1:7">
      <c r="A147" s="112" t="s">
        <v>54</v>
      </c>
      <c r="B147" s="124"/>
      <c r="C147" s="125">
        <v>27901</v>
      </c>
      <c r="D147" s="125"/>
      <c r="E147" s="125"/>
      <c r="F147" s="125"/>
      <c r="G147" s="125"/>
    </row>
    <row r="148" spans="1:7" ht="26.25">
      <c r="A148" s="127" t="s">
        <v>136</v>
      </c>
      <c r="B148" s="124"/>
      <c r="C148" s="110">
        <f>SUM(C149:C150)</f>
        <v>27000</v>
      </c>
      <c r="D148" s="110">
        <f>SUM(D149:D150)</f>
        <v>0</v>
      </c>
      <c r="E148" s="110">
        <f>SUM(E149:E150)</f>
        <v>0</v>
      </c>
      <c r="F148" s="110">
        <f>SUM(F149:F150)</f>
        <v>0</v>
      </c>
      <c r="G148" s="111">
        <f>SUM(G149:G150)</f>
        <v>0</v>
      </c>
    </row>
    <row r="149" spans="1:7">
      <c r="A149" s="112" t="s">
        <v>53</v>
      </c>
      <c r="B149" s="124"/>
      <c r="C149" s="125"/>
      <c r="D149" s="125"/>
      <c r="E149" s="125"/>
      <c r="F149" s="125"/>
      <c r="G149" s="125"/>
    </row>
    <row r="150" spans="1:7">
      <c r="A150" s="112" t="s">
        <v>54</v>
      </c>
      <c r="B150" s="124"/>
      <c r="C150" s="125">
        <v>27000</v>
      </c>
      <c r="D150" s="125"/>
      <c r="E150" s="125"/>
      <c r="F150" s="125"/>
      <c r="G150" s="125"/>
    </row>
    <row r="151" spans="1:7" ht="26.25">
      <c r="A151" s="130" t="s">
        <v>137</v>
      </c>
      <c r="B151" s="124"/>
      <c r="C151" s="110">
        <f>SUM(C152:C153)</f>
        <v>86999</v>
      </c>
      <c r="D151" s="110">
        <f>SUM(D152:D153)</f>
        <v>0</v>
      </c>
      <c r="E151" s="110">
        <f>SUM(E152:E153)</f>
        <v>0</v>
      </c>
      <c r="F151" s="110">
        <f>SUM(F152:F153)</f>
        <v>0</v>
      </c>
      <c r="G151" s="111">
        <f>SUM(G152:G153)</f>
        <v>0</v>
      </c>
    </row>
    <row r="152" spans="1:7">
      <c r="A152" s="112" t="s">
        <v>53</v>
      </c>
      <c r="B152" s="124"/>
      <c r="C152" s="125">
        <v>85640</v>
      </c>
      <c r="D152" s="125"/>
      <c r="E152" s="125"/>
      <c r="F152" s="125"/>
      <c r="G152" s="125"/>
    </row>
    <row r="153" spans="1:7">
      <c r="A153" s="112" t="s">
        <v>54</v>
      </c>
      <c r="B153" s="124"/>
      <c r="C153" s="125">
        <v>1359</v>
      </c>
      <c r="D153" s="125"/>
      <c r="E153" s="125"/>
      <c r="F153" s="125"/>
      <c r="G153" s="125"/>
    </row>
    <row r="154" spans="1:7" s="2" customFormat="1" ht="12.75">
      <c r="A154" s="113" t="s">
        <v>63</v>
      </c>
      <c r="B154" s="114"/>
      <c r="C154" s="114">
        <f>SUM(C155:C156)</f>
        <v>2006652</v>
      </c>
      <c r="D154" s="114">
        <f>SUM(D155:D156)</f>
        <v>818523.6</v>
      </c>
      <c r="E154" s="114">
        <f>SUM(E155:E156)</f>
        <v>1175000</v>
      </c>
      <c r="F154" s="114">
        <f>SUM(F155:F156)</f>
        <v>1100000</v>
      </c>
      <c r="G154" s="115">
        <f>SUM(G155:G156)</f>
        <v>600000</v>
      </c>
    </row>
    <row r="155" spans="1:7">
      <c r="A155" s="112" t="s">
        <v>53</v>
      </c>
      <c r="B155" s="52"/>
      <c r="C155" s="52">
        <f>+C95+C98+C101+C104+C107+C110+C113+C116+C119+C122+C125+C128+C131+C134+C140+C143+C146+C149+C152</f>
        <v>472219</v>
      </c>
      <c r="D155" s="52">
        <f>+D95+D98+D101+D104+D107+D110+D113+D116+D119+D122+D125+D128+D131+D134+D140+D143+D146+D149+D152</f>
        <v>73451.600000000006</v>
      </c>
      <c r="E155" s="52">
        <f>+E95+E98+E101+E104+E107+E110+E113+E116+E119+E122+E125+E128+E131+E134+E140+E143+E146+E149+E152</f>
        <v>395000</v>
      </c>
      <c r="F155" s="52">
        <f>+F95+F98+F101+F104+F107+F110+F113+F116+F119+F122+F125+F128+F131+F134+F140+F143+F146+F149+F152</f>
        <v>395000</v>
      </c>
      <c r="G155" s="52">
        <f>+G95+G98+G101+G104+G107+G110+G113+G116+G119+G122+G125+G128+G131+G134+G140+G143+G146+G149+G152</f>
        <v>20000</v>
      </c>
    </row>
    <row r="156" spans="1:7" ht="16.5" thickBot="1">
      <c r="A156" s="117" t="s">
        <v>54</v>
      </c>
      <c r="B156" s="118"/>
      <c r="C156" s="119">
        <f>C96+C99+C102+C105+C108+C111+C114+C117+C120+C123+C126+C129+C132+C135+C138+C141+C144+C147+C150+C153</f>
        <v>1534433</v>
      </c>
      <c r="D156" s="119">
        <f>D96+D99+D102+D105+D108+D111+D114+D117+D120+D123+D126+D129+D132+D135+D138+D141+D144+D147+D150+D153</f>
        <v>745072</v>
      </c>
      <c r="E156" s="119">
        <f>E96+E99+E102+E105+E108+E111+E114+E117+E120+E123+E126+E129+E132+E135+E138+E141+E144+E147+E150+E153</f>
        <v>780000</v>
      </c>
      <c r="F156" s="119">
        <f>F96+F99+F102+F105+F108+F111+F114+F117+F120+F123+F126+F129+F132+F135+F138+F141+F144+F147+F150+F153</f>
        <v>705000</v>
      </c>
      <c r="G156" s="119">
        <f>G96+G99+G102+G105+G108+G111+G114+G117+G120+G123+G126+G129+G132+G135+G138+G141+G144+G147+G150+G153</f>
        <v>580000</v>
      </c>
    </row>
    <row r="157" spans="1:7">
      <c r="C157" s="48"/>
      <c r="D157" s="48"/>
      <c r="E157" s="48"/>
      <c r="F157" s="48"/>
      <c r="G157" s="48"/>
    </row>
    <row r="158" spans="1:7">
      <c r="C158" s="48"/>
      <c r="D158" s="48"/>
      <c r="E158" s="48"/>
      <c r="F158" s="48"/>
      <c r="G158" s="48"/>
    </row>
    <row r="159" spans="1:7">
      <c r="C159" s="48"/>
      <c r="D159" s="48"/>
      <c r="E159" s="48"/>
      <c r="F159" s="48"/>
      <c r="G159" s="48"/>
    </row>
    <row r="160" spans="1:7">
      <c r="C160" s="48"/>
      <c r="D160" s="48"/>
      <c r="E160" s="48"/>
      <c r="F160" s="48"/>
      <c r="G160" s="48"/>
    </row>
    <row r="161" spans="3:7">
      <c r="C161" s="48"/>
      <c r="D161" s="48"/>
      <c r="E161" s="48"/>
      <c r="F161" s="48"/>
      <c r="G161" s="48"/>
    </row>
    <row r="162" spans="3:7">
      <c r="C162" s="48"/>
      <c r="D162" s="48"/>
      <c r="E162" s="48"/>
      <c r="F162" s="48"/>
      <c r="G162" s="48"/>
    </row>
  </sheetData>
  <mergeCells count="1">
    <mergeCell ref="H57:M57"/>
  </mergeCells>
  <conditionalFormatting sqref="B49:G49 C20:G20">
    <cfRule type="cellIs" dxfId="4" priority="4" stopIfTrue="1" operator="lessThan">
      <formula>0</formula>
    </cfRule>
  </conditionalFormatting>
  <conditionalFormatting sqref="C20:G20">
    <cfRule type="cellIs" dxfId="3" priority="3" stopIfTrue="1" operator="lessThan">
      <formula>0</formula>
    </cfRule>
  </conditionalFormatting>
  <conditionalFormatting sqref="E20">
    <cfRule type="cellIs" dxfId="2" priority="2" stopIfTrue="1" operator="lessThan">
      <formula>0</formula>
    </cfRule>
  </conditionalFormatting>
  <conditionalFormatting sqref="G20">
    <cfRule type="cellIs" dxfId="1" priority="1" stopIfTrue="1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C24" sqref="C24"/>
    </sheetView>
  </sheetViews>
  <sheetFormatPr defaultRowHeight="15.75"/>
  <cols>
    <col min="1" max="1" width="40.5" customWidth="1"/>
    <col min="2" max="2" width="10.5" customWidth="1"/>
    <col min="3" max="3" width="10.75" customWidth="1"/>
    <col min="4" max="7" width="9.25" bestFit="1" customWidth="1"/>
    <col min="8" max="8" width="9.5" customWidth="1"/>
    <col min="10" max="10" width="9.75" customWidth="1"/>
    <col min="257" max="257" width="40.5" customWidth="1"/>
    <col min="258" max="258" width="10.5" customWidth="1"/>
    <col min="259" max="259" width="10.75" customWidth="1"/>
    <col min="260" max="263" width="9.25" bestFit="1" customWidth="1"/>
    <col min="264" max="264" width="9.5" customWidth="1"/>
    <col min="266" max="266" width="9.75" customWidth="1"/>
    <col min="513" max="513" width="40.5" customWidth="1"/>
    <col min="514" max="514" width="10.5" customWidth="1"/>
    <col min="515" max="515" width="10.75" customWidth="1"/>
    <col min="516" max="519" width="9.25" bestFit="1" customWidth="1"/>
    <col min="520" max="520" width="9.5" customWidth="1"/>
    <col min="522" max="522" width="9.75" customWidth="1"/>
    <col min="769" max="769" width="40.5" customWidth="1"/>
    <col min="770" max="770" width="10.5" customWidth="1"/>
    <col min="771" max="771" width="10.75" customWidth="1"/>
    <col min="772" max="775" width="9.25" bestFit="1" customWidth="1"/>
    <col min="776" max="776" width="9.5" customWidth="1"/>
    <col min="778" max="778" width="9.75" customWidth="1"/>
    <col min="1025" max="1025" width="40.5" customWidth="1"/>
    <col min="1026" max="1026" width="10.5" customWidth="1"/>
    <col min="1027" max="1027" width="10.75" customWidth="1"/>
    <col min="1028" max="1031" width="9.25" bestFit="1" customWidth="1"/>
    <col min="1032" max="1032" width="9.5" customWidth="1"/>
    <col min="1034" max="1034" width="9.75" customWidth="1"/>
    <col min="1281" max="1281" width="40.5" customWidth="1"/>
    <col min="1282" max="1282" width="10.5" customWidth="1"/>
    <col min="1283" max="1283" width="10.75" customWidth="1"/>
    <col min="1284" max="1287" width="9.25" bestFit="1" customWidth="1"/>
    <col min="1288" max="1288" width="9.5" customWidth="1"/>
    <col min="1290" max="1290" width="9.75" customWidth="1"/>
    <col min="1537" max="1537" width="40.5" customWidth="1"/>
    <col min="1538" max="1538" width="10.5" customWidth="1"/>
    <col min="1539" max="1539" width="10.75" customWidth="1"/>
    <col min="1540" max="1543" width="9.25" bestFit="1" customWidth="1"/>
    <col min="1544" max="1544" width="9.5" customWidth="1"/>
    <col min="1546" max="1546" width="9.75" customWidth="1"/>
    <col min="1793" max="1793" width="40.5" customWidth="1"/>
    <col min="1794" max="1794" width="10.5" customWidth="1"/>
    <col min="1795" max="1795" width="10.75" customWidth="1"/>
    <col min="1796" max="1799" width="9.25" bestFit="1" customWidth="1"/>
    <col min="1800" max="1800" width="9.5" customWidth="1"/>
    <col min="1802" max="1802" width="9.75" customWidth="1"/>
    <col min="2049" max="2049" width="40.5" customWidth="1"/>
    <col min="2050" max="2050" width="10.5" customWidth="1"/>
    <col min="2051" max="2051" width="10.75" customWidth="1"/>
    <col min="2052" max="2055" width="9.25" bestFit="1" customWidth="1"/>
    <col min="2056" max="2056" width="9.5" customWidth="1"/>
    <col min="2058" max="2058" width="9.75" customWidth="1"/>
    <col min="2305" max="2305" width="40.5" customWidth="1"/>
    <col min="2306" max="2306" width="10.5" customWidth="1"/>
    <col min="2307" max="2307" width="10.75" customWidth="1"/>
    <col min="2308" max="2311" width="9.25" bestFit="1" customWidth="1"/>
    <col min="2312" max="2312" width="9.5" customWidth="1"/>
    <col min="2314" max="2314" width="9.75" customWidth="1"/>
    <col min="2561" max="2561" width="40.5" customWidth="1"/>
    <col min="2562" max="2562" width="10.5" customWidth="1"/>
    <col min="2563" max="2563" width="10.75" customWidth="1"/>
    <col min="2564" max="2567" width="9.25" bestFit="1" customWidth="1"/>
    <col min="2568" max="2568" width="9.5" customWidth="1"/>
    <col min="2570" max="2570" width="9.75" customWidth="1"/>
    <col min="2817" max="2817" width="40.5" customWidth="1"/>
    <col min="2818" max="2818" width="10.5" customWidth="1"/>
    <col min="2819" max="2819" width="10.75" customWidth="1"/>
    <col min="2820" max="2823" width="9.25" bestFit="1" customWidth="1"/>
    <col min="2824" max="2824" width="9.5" customWidth="1"/>
    <col min="2826" max="2826" width="9.75" customWidth="1"/>
    <col min="3073" max="3073" width="40.5" customWidth="1"/>
    <col min="3074" max="3074" width="10.5" customWidth="1"/>
    <col min="3075" max="3075" width="10.75" customWidth="1"/>
    <col min="3076" max="3079" width="9.25" bestFit="1" customWidth="1"/>
    <col min="3080" max="3080" width="9.5" customWidth="1"/>
    <col min="3082" max="3082" width="9.75" customWidth="1"/>
    <col min="3329" max="3329" width="40.5" customWidth="1"/>
    <col min="3330" max="3330" width="10.5" customWidth="1"/>
    <col min="3331" max="3331" width="10.75" customWidth="1"/>
    <col min="3332" max="3335" width="9.25" bestFit="1" customWidth="1"/>
    <col min="3336" max="3336" width="9.5" customWidth="1"/>
    <col min="3338" max="3338" width="9.75" customWidth="1"/>
    <col min="3585" max="3585" width="40.5" customWidth="1"/>
    <col min="3586" max="3586" width="10.5" customWidth="1"/>
    <col min="3587" max="3587" width="10.75" customWidth="1"/>
    <col min="3588" max="3591" width="9.25" bestFit="1" customWidth="1"/>
    <col min="3592" max="3592" width="9.5" customWidth="1"/>
    <col min="3594" max="3594" width="9.75" customWidth="1"/>
    <col min="3841" max="3841" width="40.5" customWidth="1"/>
    <col min="3842" max="3842" width="10.5" customWidth="1"/>
    <col min="3843" max="3843" width="10.75" customWidth="1"/>
    <col min="3844" max="3847" width="9.25" bestFit="1" customWidth="1"/>
    <col min="3848" max="3848" width="9.5" customWidth="1"/>
    <col min="3850" max="3850" width="9.75" customWidth="1"/>
    <col min="4097" max="4097" width="40.5" customWidth="1"/>
    <col min="4098" max="4098" width="10.5" customWidth="1"/>
    <col min="4099" max="4099" width="10.75" customWidth="1"/>
    <col min="4100" max="4103" width="9.25" bestFit="1" customWidth="1"/>
    <col min="4104" max="4104" width="9.5" customWidth="1"/>
    <col min="4106" max="4106" width="9.75" customWidth="1"/>
    <col min="4353" max="4353" width="40.5" customWidth="1"/>
    <col min="4354" max="4354" width="10.5" customWidth="1"/>
    <col min="4355" max="4355" width="10.75" customWidth="1"/>
    <col min="4356" max="4359" width="9.25" bestFit="1" customWidth="1"/>
    <col min="4360" max="4360" width="9.5" customWidth="1"/>
    <col min="4362" max="4362" width="9.75" customWidth="1"/>
    <col min="4609" max="4609" width="40.5" customWidth="1"/>
    <col min="4610" max="4610" width="10.5" customWidth="1"/>
    <col min="4611" max="4611" width="10.75" customWidth="1"/>
    <col min="4612" max="4615" width="9.25" bestFit="1" customWidth="1"/>
    <col min="4616" max="4616" width="9.5" customWidth="1"/>
    <col min="4618" max="4618" width="9.75" customWidth="1"/>
    <col min="4865" max="4865" width="40.5" customWidth="1"/>
    <col min="4866" max="4866" width="10.5" customWidth="1"/>
    <col min="4867" max="4867" width="10.75" customWidth="1"/>
    <col min="4868" max="4871" width="9.25" bestFit="1" customWidth="1"/>
    <col min="4872" max="4872" width="9.5" customWidth="1"/>
    <col min="4874" max="4874" width="9.75" customWidth="1"/>
    <col min="5121" max="5121" width="40.5" customWidth="1"/>
    <col min="5122" max="5122" width="10.5" customWidth="1"/>
    <col min="5123" max="5123" width="10.75" customWidth="1"/>
    <col min="5124" max="5127" width="9.25" bestFit="1" customWidth="1"/>
    <col min="5128" max="5128" width="9.5" customWidth="1"/>
    <col min="5130" max="5130" width="9.75" customWidth="1"/>
    <col min="5377" max="5377" width="40.5" customWidth="1"/>
    <col min="5378" max="5378" width="10.5" customWidth="1"/>
    <col min="5379" max="5379" width="10.75" customWidth="1"/>
    <col min="5380" max="5383" width="9.25" bestFit="1" customWidth="1"/>
    <col min="5384" max="5384" width="9.5" customWidth="1"/>
    <col min="5386" max="5386" width="9.75" customWidth="1"/>
    <col min="5633" max="5633" width="40.5" customWidth="1"/>
    <col min="5634" max="5634" width="10.5" customWidth="1"/>
    <col min="5635" max="5635" width="10.75" customWidth="1"/>
    <col min="5636" max="5639" width="9.25" bestFit="1" customWidth="1"/>
    <col min="5640" max="5640" width="9.5" customWidth="1"/>
    <col min="5642" max="5642" width="9.75" customWidth="1"/>
    <col min="5889" max="5889" width="40.5" customWidth="1"/>
    <col min="5890" max="5890" width="10.5" customWidth="1"/>
    <col min="5891" max="5891" width="10.75" customWidth="1"/>
    <col min="5892" max="5895" width="9.25" bestFit="1" customWidth="1"/>
    <col min="5896" max="5896" width="9.5" customWidth="1"/>
    <col min="5898" max="5898" width="9.75" customWidth="1"/>
    <col min="6145" max="6145" width="40.5" customWidth="1"/>
    <col min="6146" max="6146" width="10.5" customWidth="1"/>
    <col min="6147" max="6147" width="10.75" customWidth="1"/>
    <col min="6148" max="6151" width="9.25" bestFit="1" customWidth="1"/>
    <col min="6152" max="6152" width="9.5" customWidth="1"/>
    <col min="6154" max="6154" width="9.75" customWidth="1"/>
    <col min="6401" max="6401" width="40.5" customWidth="1"/>
    <col min="6402" max="6402" width="10.5" customWidth="1"/>
    <col min="6403" max="6403" width="10.75" customWidth="1"/>
    <col min="6404" max="6407" width="9.25" bestFit="1" customWidth="1"/>
    <col min="6408" max="6408" width="9.5" customWidth="1"/>
    <col min="6410" max="6410" width="9.75" customWidth="1"/>
    <col min="6657" max="6657" width="40.5" customWidth="1"/>
    <col min="6658" max="6658" width="10.5" customWidth="1"/>
    <col min="6659" max="6659" width="10.75" customWidth="1"/>
    <col min="6660" max="6663" width="9.25" bestFit="1" customWidth="1"/>
    <col min="6664" max="6664" width="9.5" customWidth="1"/>
    <col min="6666" max="6666" width="9.75" customWidth="1"/>
    <col min="6913" max="6913" width="40.5" customWidth="1"/>
    <col min="6914" max="6914" width="10.5" customWidth="1"/>
    <col min="6915" max="6915" width="10.75" customWidth="1"/>
    <col min="6916" max="6919" width="9.25" bestFit="1" customWidth="1"/>
    <col min="6920" max="6920" width="9.5" customWidth="1"/>
    <col min="6922" max="6922" width="9.75" customWidth="1"/>
    <col min="7169" max="7169" width="40.5" customWidth="1"/>
    <col min="7170" max="7170" width="10.5" customWidth="1"/>
    <col min="7171" max="7171" width="10.75" customWidth="1"/>
    <col min="7172" max="7175" width="9.25" bestFit="1" customWidth="1"/>
    <col min="7176" max="7176" width="9.5" customWidth="1"/>
    <col min="7178" max="7178" width="9.75" customWidth="1"/>
    <col min="7425" max="7425" width="40.5" customWidth="1"/>
    <col min="7426" max="7426" width="10.5" customWidth="1"/>
    <col min="7427" max="7427" width="10.75" customWidth="1"/>
    <col min="7428" max="7431" width="9.25" bestFit="1" customWidth="1"/>
    <col min="7432" max="7432" width="9.5" customWidth="1"/>
    <col min="7434" max="7434" width="9.75" customWidth="1"/>
    <col min="7681" max="7681" width="40.5" customWidth="1"/>
    <col min="7682" max="7682" width="10.5" customWidth="1"/>
    <col min="7683" max="7683" width="10.75" customWidth="1"/>
    <col min="7684" max="7687" width="9.25" bestFit="1" customWidth="1"/>
    <col min="7688" max="7688" width="9.5" customWidth="1"/>
    <col min="7690" max="7690" width="9.75" customWidth="1"/>
    <col min="7937" max="7937" width="40.5" customWidth="1"/>
    <col min="7938" max="7938" width="10.5" customWidth="1"/>
    <col min="7939" max="7939" width="10.75" customWidth="1"/>
    <col min="7940" max="7943" width="9.25" bestFit="1" customWidth="1"/>
    <col min="7944" max="7944" width="9.5" customWidth="1"/>
    <col min="7946" max="7946" width="9.75" customWidth="1"/>
    <col min="8193" max="8193" width="40.5" customWidth="1"/>
    <col min="8194" max="8194" width="10.5" customWidth="1"/>
    <col min="8195" max="8195" width="10.75" customWidth="1"/>
    <col min="8196" max="8199" width="9.25" bestFit="1" customWidth="1"/>
    <col min="8200" max="8200" width="9.5" customWidth="1"/>
    <col min="8202" max="8202" width="9.75" customWidth="1"/>
    <col min="8449" max="8449" width="40.5" customWidth="1"/>
    <col min="8450" max="8450" width="10.5" customWidth="1"/>
    <col min="8451" max="8451" width="10.75" customWidth="1"/>
    <col min="8452" max="8455" width="9.25" bestFit="1" customWidth="1"/>
    <col min="8456" max="8456" width="9.5" customWidth="1"/>
    <col min="8458" max="8458" width="9.75" customWidth="1"/>
    <col min="8705" max="8705" width="40.5" customWidth="1"/>
    <col min="8706" max="8706" width="10.5" customWidth="1"/>
    <col min="8707" max="8707" width="10.75" customWidth="1"/>
    <col min="8708" max="8711" width="9.25" bestFit="1" customWidth="1"/>
    <col min="8712" max="8712" width="9.5" customWidth="1"/>
    <col min="8714" max="8714" width="9.75" customWidth="1"/>
    <col min="8961" max="8961" width="40.5" customWidth="1"/>
    <col min="8962" max="8962" width="10.5" customWidth="1"/>
    <col min="8963" max="8963" width="10.75" customWidth="1"/>
    <col min="8964" max="8967" width="9.25" bestFit="1" customWidth="1"/>
    <col min="8968" max="8968" width="9.5" customWidth="1"/>
    <col min="8970" max="8970" width="9.75" customWidth="1"/>
    <col min="9217" max="9217" width="40.5" customWidth="1"/>
    <col min="9218" max="9218" width="10.5" customWidth="1"/>
    <col min="9219" max="9219" width="10.75" customWidth="1"/>
    <col min="9220" max="9223" width="9.25" bestFit="1" customWidth="1"/>
    <col min="9224" max="9224" width="9.5" customWidth="1"/>
    <col min="9226" max="9226" width="9.75" customWidth="1"/>
    <col min="9473" max="9473" width="40.5" customWidth="1"/>
    <col min="9474" max="9474" width="10.5" customWidth="1"/>
    <col min="9475" max="9475" width="10.75" customWidth="1"/>
    <col min="9476" max="9479" width="9.25" bestFit="1" customWidth="1"/>
    <col min="9480" max="9480" width="9.5" customWidth="1"/>
    <col min="9482" max="9482" width="9.75" customWidth="1"/>
    <col min="9729" max="9729" width="40.5" customWidth="1"/>
    <col min="9730" max="9730" width="10.5" customWidth="1"/>
    <col min="9731" max="9731" width="10.75" customWidth="1"/>
    <col min="9732" max="9735" width="9.25" bestFit="1" customWidth="1"/>
    <col min="9736" max="9736" width="9.5" customWidth="1"/>
    <col min="9738" max="9738" width="9.75" customWidth="1"/>
    <col min="9985" max="9985" width="40.5" customWidth="1"/>
    <col min="9986" max="9986" width="10.5" customWidth="1"/>
    <col min="9987" max="9987" width="10.75" customWidth="1"/>
    <col min="9988" max="9991" width="9.25" bestFit="1" customWidth="1"/>
    <col min="9992" max="9992" width="9.5" customWidth="1"/>
    <col min="9994" max="9994" width="9.75" customWidth="1"/>
    <col min="10241" max="10241" width="40.5" customWidth="1"/>
    <col min="10242" max="10242" width="10.5" customWidth="1"/>
    <col min="10243" max="10243" width="10.75" customWidth="1"/>
    <col min="10244" max="10247" width="9.25" bestFit="1" customWidth="1"/>
    <col min="10248" max="10248" width="9.5" customWidth="1"/>
    <col min="10250" max="10250" width="9.75" customWidth="1"/>
    <col min="10497" max="10497" width="40.5" customWidth="1"/>
    <col min="10498" max="10498" width="10.5" customWidth="1"/>
    <col min="10499" max="10499" width="10.75" customWidth="1"/>
    <col min="10500" max="10503" width="9.25" bestFit="1" customWidth="1"/>
    <col min="10504" max="10504" width="9.5" customWidth="1"/>
    <col min="10506" max="10506" width="9.75" customWidth="1"/>
    <col min="10753" max="10753" width="40.5" customWidth="1"/>
    <col min="10754" max="10754" width="10.5" customWidth="1"/>
    <col min="10755" max="10755" width="10.75" customWidth="1"/>
    <col min="10756" max="10759" width="9.25" bestFit="1" customWidth="1"/>
    <col min="10760" max="10760" width="9.5" customWidth="1"/>
    <col min="10762" max="10762" width="9.75" customWidth="1"/>
    <col min="11009" max="11009" width="40.5" customWidth="1"/>
    <col min="11010" max="11010" width="10.5" customWidth="1"/>
    <col min="11011" max="11011" width="10.75" customWidth="1"/>
    <col min="11012" max="11015" width="9.25" bestFit="1" customWidth="1"/>
    <col min="11016" max="11016" width="9.5" customWidth="1"/>
    <col min="11018" max="11018" width="9.75" customWidth="1"/>
    <col min="11265" max="11265" width="40.5" customWidth="1"/>
    <col min="11266" max="11266" width="10.5" customWidth="1"/>
    <col min="11267" max="11267" width="10.75" customWidth="1"/>
    <col min="11268" max="11271" width="9.25" bestFit="1" customWidth="1"/>
    <col min="11272" max="11272" width="9.5" customWidth="1"/>
    <col min="11274" max="11274" width="9.75" customWidth="1"/>
    <col min="11521" max="11521" width="40.5" customWidth="1"/>
    <col min="11522" max="11522" width="10.5" customWidth="1"/>
    <col min="11523" max="11523" width="10.75" customWidth="1"/>
    <col min="11524" max="11527" width="9.25" bestFit="1" customWidth="1"/>
    <col min="11528" max="11528" width="9.5" customWidth="1"/>
    <col min="11530" max="11530" width="9.75" customWidth="1"/>
    <col min="11777" max="11777" width="40.5" customWidth="1"/>
    <col min="11778" max="11778" width="10.5" customWidth="1"/>
    <col min="11779" max="11779" width="10.75" customWidth="1"/>
    <col min="11780" max="11783" width="9.25" bestFit="1" customWidth="1"/>
    <col min="11784" max="11784" width="9.5" customWidth="1"/>
    <col min="11786" max="11786" width="9.75" customWidth="1"/>
    <col min="12033" max="12033" width="40.5" customWidth="1"/>
    <col min="12034" max="12034" width="10.5" customWidth="1"/>
    <col min="12035" max="12035" width="10.75" customWidth="1"/>
    <col min="12036" max="12039" width="9.25" bestFit="1" customWidth="1"/>
    <col min="12040" max="12040" width="9.5" customWidth="1"/>
    <col min="12042" max="12042" width="9.75" customWidth="1"/>
    <col min="12289" max="12289" width="40.5" customWidth="1"/>
    <col min="12290" max="12290" width="10.5" customWidth="1"/>
    <col min="12291" max="12291" width="10.75" customWidth="1"/>
    <col min="12292" max="12295" width="9.25" bestFit="1" customWidth="1"/>
    <col min="12296" max="12296" width="9.5" customWidth="1"/>
    <col min="12298" max="12298" width="9.75" customWidth="1"/>
    <col min="12545" max="12545" width="40.5" customWidth="1"/>
    <col min="12546" max="12546" width="10.5" customWidth="1"/>
    <col min="12547" max="12547" width="10.75" customWidth="1"/>
    <col min="12548" max="12551" width="9.25" bestFit="1" customWidth="1"/>
    <col min="12552" max="12552" width="9.5" customWidth="1"/>
    <col min="12554" max="12554" width="9.75" customWidth="1"/>
    <col min="12801" max="12801" width="40.5" customWidth="1"/>
    <col min="12802" max="12802" width="10.5" customWidth="1"/>
    <col min="12803" max="12803" width="10.75" customWidth="1"/>
    <col min="12804" max="12807" width="9.25" bestFit="1" customWidth="1"/>
    <col min="12808" max="12808" width="9.5" customWidth="1"/>
    <col min="12810" max="12810" width="9.75" customWidth="1"/>
    <col min="13057" max="13057" width="40.5" customWidth="1"/>
    <col min="13058" max="13058" width="10.5" customWidth="1"/>
    <col min="13059" max="13059" width="10.75" customWidth="1"/>
    <col min="13060" max="13063" width="9.25" bestFit="1" customWidth="1"/>
    <col min="13064" max="13064" width="9.5" customWidth="1"/>
    <col min="13066" max="13066" width="9.75" customWidth="1"/>
    <col min="13313" max="13313" width="40.5" customWidth="1"/>
    <col min="13314" max="13314" width="10.5" customWidth="1"/>
    <col min="13315" max="13315" width="10.75" customWidth="1"/>
    <col min="13316" max="13319" width="9.25" bestFit="1" customWidth="1"/>
    <col min="13320" max="13320" width="9.5" customWidth="1"/>
    <col min="13322" max="13322" width="9.75" customWidth="1"/>
    <col min="13569" max="13569" width="40.5" customWidth="1"/>
    <col min="13570" max="13570" width="10.5" customWidth="1"/>
    <col min="13571" max="13571" width="10.75" customWidth="1"/>
    <col min="13572" max="13575" width="9.25" bestFit="1" customWidth="1"/>
    <col min="13576" max="13576" width="9.5" customWidth="1"/>
    <col min="13578" max="13578" width="9.75" customWidth="1"/>
    <col min="13825" max="13825" width="40.5" customWidth="1"/>
    <col min="13826" max="13826" width="10.5" customWidth="1"/>
    <col min="13827" max="13827" width="10.75" customWidth="1"/>
    <col min="13828" max="13831" width="9.25" bestFit="1" customWidth="1"/>
    <col min="13832" max="13832" width="9.5" customWidth="1"/>
    <col min="13834" max="13834" width="9.75" customWidth="1"/>
    <col min="14081" max="14081" width="40.5" customWidth="1"/>
    <col min="14082" max="14082" width="10.5" customWidth="1"/>
    <col min="14083" max="14083" width="10.75" customWidth="1"/>
    <col min="14084" max="14087" width="9.25" bestFit="1" customWidth="1"/>
    <col min="14088" max="14088" width="9.5" customWidth="1"/>
    <col min="14090" max="14090" width="9.75" customWidth="1"/>
    <col min="14337" max="14337" width="40.5" customWidth="1"/>
    <col min="14338" max="14338" width="10.5" customWidth="1"/>
    <col min="14339" max="14339" width="10.75" customWidth="1"/>
    <col min="14340" max="14343" width="9.25" bestFit="1" customWidth="1"/>
    <col min="14344" max="14344" width="9.5" customWidth="1"/>
    <col min="14346" max="14346" width="9.75" customWidth="1"/>
    <col min="14593" max="14593" width="40.5" customWidth="1"/>
    <col min="14594" max="14594" width="10.5" customWidth="1"/>
    <col min="14595" max="14595" width="10.75" customWidth="1"/>
    <col min="14596" max="14599" width="9.25" bestFit="1" customWidth="1"/>
    <col min="14600" max="14600" width="9.5" customWidth="1"/>
    <col min="14602" max="14602" width="9.75" customWidth="1"/>
    <col min="14849" max="14849" width="40.5" customWidth="1"/>
    <col min="14850" max="14850" width="10.5" customWidth="1"/>
    <col min="14851" max="14851" width="10.75" customWidth="1"/>
    <col min="14852" max="14855" width="9.25" bestFit="1" customWidth="1"/>
    <col min="14856" max="14856" width="9.5" customWidth="1"/>
    <col min="14858" max="14858" width="9.75" customWidth="1"/>
    <col min="15105" max="15105" width="40.5" customWidth="1"/>
    <col min="15106" max="15106" width="10.5" customWidth="1"/>
    <col min="15107" max="15107" width="10.75" customWidth="1"/>
    <col min="15108" max="15111" width="9.25" bestFit="1" customWidth="1"/>
    <col min="15112" max="15112" width="9.5" customWidth="1"/>
    <col min="15114" max="15114" width="9.75" customWidth="1"/>
    <col min="15361" max="15361" width="40.5" customWidth="1"/>
    <col min="15362" max="15362" width="10.5" customWidth="1"/>
    <col min="15363" max="15363" width="10.75" customWidth="1"/>
    <col min="15364" max="15367" width="9.25" bestFit="1" customWidth="1"/>
    <col min="15368" max="15368" width="9.5" customWidth="1"/>
    <col min="15370" max="15370" width="9.75" customWidth="1"/>
    <col min="15617" max="15617" width="40.5" customWidth="1"/>
    <col min="15618" max="15618" width="10.5" customWidth="1"/>
    <col min="15619" max="15619" width="10.75" customWidth="1"/>
    <col min="15620" max="15623" width="9.25" bestFit="1" customWidth="1"/>
    <col min="15624" max="15624" width="9.5" customWidth="1"/>
    <col min="15626" max="15626" width="9.75" customWidth="1"/>
    <col min="15873" max="15873" width="40.5" customWidth="1"/>
    <col min="15874" max="15874" width="10.5" customWidth="1"/>
    <col min="15875" max="15875" width="10.75" customWidth="1"/>
    <col min="15876" max="15879" width="9.25" bestFit="1" customWidth="1"/>
    <col min="15880" max="15880" width="9.5" customWidth="1"/>
    <col min="15882" max="15882" width="9.75" customWidth="1"/>
    <col min="16129" max="16129" width="40.5" customWidth="1"/>
    <col min="16130" max="16130" width="10.5" customWidth="1"/>
    <col min="16131" max="16131" width="10.75" customWidth="1"/>
    <col min="16132" max="16135" width="9.25" bestFit="1" customWidth="1"/>
    <col min="16136" max="16136" width="9.5" customWidth="1"/>
    <col min="16138" max="16138" width="9.75" customWidth="1"/>
  </cols>
  <sheetData>
    <row r="1" spans="1:9" ht="39.75" thickBot="1">
      <c r="A1" s="131" t="s">
        <v>138</v>
      </c>
      <c r="B1" s="107" t="s">
        <v>82</v>
      </c>
      <c r="C1" s="107" t="s">
        <v>83</v>
      </c>
      <c r="D1" s="107" t="s">
        <v>0</v>
      </c>
      <c r="E1" s="107" t="s">
        <v>1</v>
      </c>
      <c r="F1" s="107" t="s">
        <v>2</v>
      </c>
      <c r="G1" s="108" t="s">
        <v>84</v>
      </c>
      <c r="H1" s="132"/>
    </row>
    <row r="2" spans="1:9">
      <c r="A2" s="133" t="s">
        <v>3</v>
      </c>
      <c r="B2" s="134">
        <f>'[1]Strateegia vorm KOV'!B2+'[1]Strateegia vorm sõltuv üksus'!B242-'[1]Strateegia vorm sõltuv üksus'!B246-'[1]Strateegia vorm sõltuv üksus'!B243</f>
        <v>19234699.739999998</v>
      </c>
      <c r="C2" s="134">
        <f>'[1]Strateegia vorm KOV'!C2+'[1]Strateegia vorm sõltuv üksus'!C242-'[1]Strateegia vorm sõltuv üksus'!C246-'[1]Strateegia vorm sõltuv üksus'!C243</f>
        <v>20529410</v>
      </c>
      <c r="D2" s="134">
        <f>'[1]Strateegia vorm KOV'!D2+'[1]Strateegia vorm sõltuv üksus'!D242-'[1]Strateegia vorm sõltuv üksus'!D246-'[1]Strateegia vorm sõltuv üksus'!D243</f>
        <v>20679699</v>
      </c>
      <c r="E2" s="134">
        <f>'[1]Strateegia vorm KOV'!E2+'[1]Strateegia vorm sõltuv üksus'!E242-'[1]Strateegia vorm sõltuv üksus'!E246-'[1]Strateegia vorm sõltuv üksus'!E243</f>
        <v>21318753</v>
      </c>
      <c r="F2" s="134">
        <f>'[1]Strateegia vorm KOV'!F2+'[1]Strateegia vorm sõltuv üksus'!F242-'[1]Strateegia vorm sõltuv üksus'!F246-'[1]Strateegia vorm sõltuv üksus'!F243</f>
        <v>22014620</v>
      </c>
      <c r="G2" s="135">
        <f>'[1]Strateegia vorm KOV'!G2+'[1]Strateegia vorm sõltuv üksus'!G242-'[1]Strateegia vorm sõltuv üksus'!G246-'[1]Strateegia vorm sõltuv üksus'!G243</f>
        <v>22673908</v>
      </c>
      <c r="I2" s="2"/>
    </row>
    <row r="3" spans="1:9">
      <c r="A3" s="133" t="s">
        <v>14</v>
      </c>
      <c r="B3" s="30">
        <f>'[1]Strateegia vorm KOV'!B13+'[1]Strateegia vorm sõltuv üksus'!B245-'[1]Strateegia vorm sõltuv üksus'!B246-'[1]Strateegia vorm sõltuv üksus'!B243</f>
        <v>17757782.82</v>
      </c>
      <c r="C3" s="30">
        <f>'[1]Strateegia vorm KOV'!C13+'[1]Strateegia vorm sõltuv üksus'!C245-'[1]Strateegia vorm sõltuv üksus'!C246-'[1]Strateegia vorm sõltuv üksus'!C243</f>
        <v>20071992.710000001</v>
      </c>
      <c r="D3" s="30">
        <f>'[1]Strateegia vorm KOV'!D13+'[1]Strateegia vorm sõltuv üksus'!D245-'[1]Strateegia vorm sõltuv üksus'!D246-'[1]Strateegia vorm sõltuv üksus'!D243</f>
        <v>20633360</v>
      </c>
      <c r="E3" s="30">
        <f>'[1]Strateegia vorm KOV'!E13+'[1]Strateegia vorm sõltuv üksus'!E245-'[1]Strateegia vorm sõltuv üksus'!E246-'[1]Strateegia vorm sõltuv üksus'!E243</f>
        <v>21113985</v>
      </c>
      <c r="F3" s="30">
        <f>'[1]Strateegia vorm KOV'!F13+'[1]Strateegia vorm sõltuv üksus'!F245-'[1]Strateegia vorm sõltuv üksus'!F246-'[1]Strateegia vorm sõltuv üksus'!F243</f>
        <v>21576480</v>
      </c>
      <c r="G3" s="31">
        <f>'[1]Strateegia vorm KOV'!G13+'[1]Strateegia vorm sõltuv üksus'!G245-'[1]Strateegia vorm sõltuv üksus'!G246-'[1]Strateegia vorm sõltuv üksus'!G243</f>
        <v>22073589.600000001</v>
      </c>
      <c r="I3" s="2"/>
    </row>
    <row r="4" spans="1:9">
      <c r="A4" s="136" t="s">
        <v>139</v>
      </c>
      <c r="B4" s="137">
        <f>'[1]Strateegia vorm sõltuv üksus'!B247+'[1]Strateegia vorm KOV'!B18-'[1]Strateegia vorm sõltuv üksus'!B244</f>
        <v>0</v>
      </c>
      <c r="C4" s="137">
        <f>'[1]Strateegia vorm sõltuv üksus'!C247+'[1]Strateegia vorm KOV'!C18-'[1]Strateegia vorm sõltuv üksus'!C244</f>
        <v>0</v>
      </c>
      <c r="D4" s="137">
        <f>'[1]Strateegia vorm sõltuv üksus'!D247+'[1]Strateegia vorm KOV'!D18-'[1]Strateegia vorm sõltuv üksus'!D244</f>
        <v>0</v>
      </c>
      <c r="E4" s="137">
        <f>'[1]Strateegia vorm sõltuv üksus'!E247+'[1]Strateegia vorm KOV'!E18-'[1]Strateegia vorm sõltuv üksus'!E244</f>
        <v>0</v>
      </c>
      <c r="F4" s="137">
        <f>'[1]Strateegia vorm sõltuv üksus'!F247+'[1]Strateegia vorm KOV'!F18-'[1]Strateegia vorm sõltuv üksus'!F244</f>
        <v>0</v>
      </c>
      <c r="G4" s="138">
        <f>'[1]Strateegia vorm sõltuv üksus'!G247+'[1]Strateegia vorm KOV'!G18-'[1]Strateegia vorm sõltuv üksus'!G244</f>
        <v>0</v>
      </c>
      <c r="I4" s="2"/>
    </row>
    <row r="5" spans="1:9">
      <c r="A5" s="133" t="s">
        <v>73</v>
      </c>
      <c r="B5" s="30">
        <f t="shared" ref="B5:G5" si="0">B2-B3</f>
        <v>1476916.9199999981</v>
      </c>
      <c r="C5" s="30">
        <f t="shared" si="0"/>
        <v>457417.28999999911</v>
      </c>
      <c r="D5" s="30">
        <f t="shared" si="0"/>
        <v>46339</v>
      </c>
      <c r="E5" s="30">
        <f t="shared" si="0"/>
        <v>204768</v>
      </c>
      <c r="F5" s="30">
        <f t="shared" si="0"/>
        <v>438140</v>
      </c>
      <c r="G5" s="31">
        <f t="shared" si="0"/>
        <v>600318.39999999851</v>
      </c>
    </row>
    <row r="6" spans="1:9">
      <c r="A6" s="44" t="s">
        <v>21</v>
      </c>
      <c r="B6" s="63">
        <f>'[1]Strateegia vorm KOV'!B21+'[1]Strateegia vorm sõltuv üksus'!B249-'[1]Strateegia vorm KOV'!B30-'[1]Strateegia vorm KOV'!B29</f>
        <v>-1226624.9500000002</v>
      </c>
      <c r="C6" s="63">
        <f>'[1]Strateegia vorm KOV'!C21+'[1]Strateegia vorm sõltuv üksus'!C249-'[1]Strateegia vorm KOV'!C30-'[1]Strateegia vorm KOV'!C29</f>
        <v>-1895376</v>
      </c>
      <c r="D6" s="63">
        <f>'[1]Strateegia vorm KOV'!D21+'[1]Strateegia vorm sõltuv üksus'!D249-'[1]Strateegia vorm KOV'!D30-'[1]Strateegia vorm KOV'!D29</f>
        <v>-1048963.4443999999</v>
      </c>
      <c r="E6" s="63">
        <f>'[1]Strateegia vorm KOV'!E21+'[1]Strateegia vorm sõltuv üksus'!E249-'[1]Strateegia vorm KOV'!E30-'[1]Strateegia vorm KOV'!E29</f>
        <v>-1094178.3328</v>
      </c>
      <c r="F6" s="63">
        <f>'[1]Strateegia vorm KOV'!F21+'[1]Strateegia vorm sõltuv üksus'!F249-'[1]Strateegia vorm KOV'!F30-'[1]Strateegia vorm KOV'!F29</f>
        <v>-1111742.6528</v>
      </c>
      <c r="G6" s="46">
        <f>'[1]Strateegia vorm KOV'!G21+'[1]Strateegia vorm sõltuv üksus'!G249-'[1]Strateegia vorm KOV'!G30-'[1]Strateegia vorm KOV'!G29</f>
        <v>-1017144.5728</v>
      </c>
      <c r="I6" s="2"/>
    </row>
    <row r="7" spans="1:9">
      <c r="A7" s="62" t="s">
        <v>33</v>
      </c>
      <c r="B7" s="63">
        <f t="shared" ref="B7:G7" si="1">B5+B6</f>
        <v>250291.96999999788</v>
      </c>
      <c r="C7" s="63">
        <f t="shared" si="1"/>
        <v>-1437958.7100000009</v>
      </c>
      <c r="D7" s="63">
        <f t="shared" si="1"/>
        <v>-1002624.4443999999</v>
      </c>
      <c r="E7" s="63">
        <f t="shared" si="1"/>
        <v>-889410.33279999997</v>
      </c>
      <c r="F7" s="63">
        <f t="shared" si="1"/>
        <v>-673602.65280000004</v>
      </c>
      <c r="G7" s="46">
        <f t="shared" si="1"/>
        <v>-416826.17280000146</v>
      </c>
    </row>
    <row r="8" spans="1:9">
      <c r="A8" s="62" t="s">
        <v>34</v>
      </c>
      <c r="B8" s="63">
        <f>'[1]Strateegia vorm KOV'!B34+'[1]Strateegia vorm sõltuv üksus'!B251+'[1]Strateegia vorm KOV'!B30+'[1]Strateegia vorm KOV'!B29</f>
        <v>527404.15999999992</v>
      </c>
      <c r="C8" s="63">
        <f>'[1]Strateegia vorm KOV'!C34+'[1]Strateegia vorm sõltuv üksus'!C251+'[1]Strateegia vorm KOV'!C30+'[1]Strateegia vorm KOV'!C29</f>
        <v>198380</v>
      </c>
      <c r="D8" s="63">
        <f>'[1]Strateegia vorm KOV'!D34+'[1]Strateegia vorm sõltuv üksus'!D251+'[1]Strateegia vorm KOV'!D30+'[1]Strateegia vorm KOV'!D29</f>
        <v>1077704</v>
      </c>
      <c r="E8" s="63">
        <f>'[1]Strateegia vorm KOV'!E34+'[1]Strateegia vorm sõltuv üksus'!E251+'[1]Strateegia vorm KOV'!E30+'[1]Strateegia vorm KOV'!E29</f>
        <v>1064108</v>
      </c>
      <c r="F8" s="63">
        <f>'[1]Strateegia vorm KOV'!F34+'[1]Strateegia vorm sõltuv üksus'!F251+'[1]Strateegia vorm KOV'!F30+'[1]Strateegia vorm KOV'!F29</f>
        <v>760048</v>
      </c>
      <c r="G8" s="46">
        <f>'[1]Strateegia vorm KOV'!G34+'[1]Strateegia vorm sõltuv üksus'!G251+'[1]Strateegia vorm KOV'!G30+'[1]Strateegia vorm KOV'!G29</f>
        <v>410048</v>
      </c>
      <c r="I8" s="2"/>
    </row>
    <row r="9" spans="1:9" ht="26.25">
      <c r="A9" s="68" t="s">
        <v>37</v>
      </c>
      <c r="B9" s="63">
        <f>'[1]Strateegia vorm KOV'!B37+'[1]Strateegia vorm sõltuv üksus'!B252</f>
        <v>-20820.97</v>
      </c>
      <c r="C9" s="63">
        <f>'[1]Strateegia vorm KOV'!C37+'[1]Strateegia vorm sõltuv üksus'!C252</f>
        <v>-1249478.71</v>
      </c>
      <c r="D9" s="63">
        <f>'[1]Strateegia vorm KOV'!D37+'[1]Strateegia vorm sõltuv üksus'!D252</f>
        <v>71773.55560000008</v>
      </c>
      <c r="E9" s="63">
        <f>'[1]Strateegia vorm KOV'!E37+'[1]Strateegia vorm sõltuv üksus'!E252</f>
        <v>183923.66720000003</v>
      </c>
      <c r="F9" s="63">
        <f>'[1]Strateegia vorm KOV'!F37+'[1]Strateegia vorm sõltuv üksus'!F252</f>
        <v>86819.34719999996</v>
      </c>
      <c r="G9" s="46">
        <f>'[1]Strateegia vorm KOV'!G37+'[1]Strateegia vorm sõltuv üksus'!G252</f>
        <v>307.82719999854453</v>
      </c>
    </row>
    <row r="10" spans="1:9">
      <c r="A10" s="68" t="s">
        <v>74</v>
      </c>
      <c r="B10" s="63">
        <f t="shared" ref="B10:G10" si="2">B9-B7-B8</f>
        <v>-798517.09999999776</v>
      </c>
      <c r="C10" s="63">
        <f t="shared" si="2"/>
        <v>-9899.9999999990687</v>
      </c>
      <c r="D10" s="63">
        <f t="shared" si="2"/>
        <v>-3306</v>
      </c>
      <c r="E10" s="63">
        <f t="shared" si="2"/>
        <v>9226</v>
      </c>
      <c r="F10" s="63">
        <f t="shared" si="2"/>
        <v>374</v>
      </c>
      <c r="G10" s="46">
        <f t="shared" si="2"/>
        <v>7086</v>
      </c>
    </row>
    <row r="11" spans="1:9">
      <c r="A11" s="139"/>
      <c r="B11" s="140"/>
      <c r="C11" s="140"/>
      <c r="D11" s="140"/>
      <c r="E11" s="140"/>
      <c r="F11" s="140"/>
      <c r="G11" s="141"/>
    </row>
    <row r="12" spans="1:9">
      <c r="A12" s="68" t="s">
        <v>41</v>
      </c>
      <c r="B12" s="30">
        <f>'[1]Strateegia vorm KOV'!B41+'[1]Strateegia vorm sõltuv üksus'!B255</f>
        <v>1665998.02</v>
      </c>
      <c r="C12" s="142">
        <f>B12+C9</f>
        <v>416519.31000000006</v>
      </c>
      <c r="D12" s="142">
        <f>C12+D9</f>
        <v>488292.86560000014</v>
      </c>
      <c r="E12" s="142">
        <f>D12+E9</f>
        <v>672216.53280000016</v>
      </c>
      <c r="F12" s="142">
        <f>E12+F9</f>
        <v>759035.88000000012</v>
      </c>
      <c r="G12" s="143">
        <f>F12+G9</f>
        <v>759343.70719999867</v>
      </c>
    </row>
    <row r="13" spans="1:9">
      <c r="A13" s="144" t="s">
        <v>75</v>
      </c>
      <c r="B13" s="30">
        <f>'[1]Strateegia vorm KOV'!B42+'[1]Strateegia vorm sõltuv üksus'!B256-'[1]Strateegia vorm sõltuv üksus'!B258-'[1]Strateegia vorm sõltuv üksus'!B259</f>
        <v>10438774.32</v>
      </c>
      <c r="C13" s="30">
        <f>'[1]Strateegia vorm KOV'!C42+'[1]Strateegia vorm sõltuv üksus'!C256-'[1]Strateegia vorm sõltuv üksus'!C258-'[1]Strateegia vorm sõltuv üksus'!C259</f>
        <v>10564254.32</v>
      </c>
      <c r="D13" s="30">
        <f>'[1]Strateegia vorm KOV'!D42+'[1]Strateegia vorm sõltuv üksus'!D256-'[1]Strateegia vorm sõltuv üksus'!D258-'[1]Strateegia vorm sõltuv üksus'!D259</f>
        <v>11641958.32</v>
      </c>
      <c r="E13" s="30">
        <f>'[1]Strateegia vorm KOV'!E42+'[1]Strateegia vorm sõltuv üksus'!E256-'[1]Strateegia vorm sõltuv üksus'!E258-'[1]Strateegia vorm sõltuv üksus'!E259</f>
        <v>12706066.32</v>
      </c>
      <c r="F13" s="30">
        <f>'[1]Strateegia vorm KOV'!F42+'[1]Strateegia vorm sõltuv üksus'!F256-'[1]Strateegia vorm sõltuv üksus'!F258-'[1]Strateegia vorm sõltuv üksus'!F259</f>
        <v>13466114.32</v>
      </c>
      <c r="G13" s="31">
        <f>'[1]Strateegia vorm KOV'!G42+'[1]Strateegia vorm sõltuv üksus'!G256-'[1]Strateegia vorm sõltuv üksus'!G258-'[1]Strateegia vorm sõltuv üksus'!G259</f>
        <v>13876162.32</v>
      </c>
    </row>
    <row r="14" spans="1:9" ht="22.5">
      <c r="A14" s="145" t="s">
        <v>76</v>
      </c>
      <c r="B14" s="69">
        <f>'[1]Strateegia vorm KOV'!B44+'[1]Strateegia vorm sõltuv üksus'!B257</f>
        <v>0</v>
      </c>
      <c r="C14" s="69">
        <f>'[1]Strateegia vorm KOV'!C44+'[1]Strateegia vorm sõltuv üksus'!C257</f>
        <v>0</v>
      </c>
      <c r="D14" s="69">
        <f>'[1]Strateegia vorm KOV'!D44+'[1]Strateegia vorm sõltuv üksus'!D257</f>
        <v>0</v>
      </c>
      <c r="E14" s="69">
        <f>'[1]Strateegia vorm KOV'!E44+'[1]Strateegia vorm sõltuv üksus'!E257</f>
        <v>0</v>
      </c>
      <c r="F14" s="69">
        <f>'[1]Strateegia vorm KOV'!F44+'[1]Strateegia vorm sõltuv üksus'!F257</f>
        <v>0</v>
      </c>
      <c r="G14" s="70">
        <f>'[1]Strateegia vorm KOV'!G44+'[1]Strateegia vorm sõltuv üksus'!G257</f>
        <v>0</v>
      </c>
    </row>
    <row r="15" spans="1:9">
      <c r="A15" s="85" t="s">
        <v>77</v>
      </c>
      <c r="B15" s="23">
        <f t="shared" ref="B15:G15" si="3">IF(B13-B12&lt;0,0,B13-B12)</f>
        <v>8772776.3000000007</v>
      </c>
      <c r="C15" s="23">
        <f t="shared" si="3"/>
        <v>10147735.01</v>
      </c>
      <c r="D15" s="23">
        <f t="shared" si="3"/>
        <v>11153665.454399999</v>
      </c>
      <c r="E15" s="23">
        <f t="shared" si="3"/>
        <v>12033849.7872</v>
      </c>
      <c r="F15" s="23">
        <f t="shared" si="3"/>
        <v>12707078.439999999</v>
      </c>
      <c r="G15" s="18">
        <f t="shared" si="3"/>
        <v>13116818.612800002</v>
      </c>
    </row>
    <row r="16" spans="1:9">
      <c r="A16" s="85" t="s">
        <v>78</v>
      </c>
      <c r="B16" s="146">
        <f t="shared" ref="B16:G16" si="4">B15/B2</f>
        <v>0.45609114873555084</v>
      </c>
      <c r="C16" s="146">
        <f t="shared" si="4"/>
        <v>0.49430232091423959</v>
      </c>
      <c r="D16" s="146">
        <f t="shared" si="4"/>
        <v>0.53935337523046145</v>
      </c>
      <c r="E16" s="146">
        <f t="shared" si="4"/>
        <v>0.56447249926860166</v>
      </c>
      <c r="F16" s="146">
        <f t="shared" si="4"/>
        <v>0.57721089167108042</v>
      </c>
      <c r="G16" s="147">
        <f t="shared" si="4"/>
        <v>0.57849836088247342</v>
      </c>
    </row>
    <row r="17" spans="1:9">
      <c r="A17" s="85" t="s">
        <v>79</v>
      </c>
      <c r="B17" s="69">
        <f>IF((B5+B4)*10&gt;B2,B2+B14,IF((B5+B4)*10&lt;0.8*B2,0.8*B2+B14,(B5+B4)*10+B14))</f>
        <v>15387759.791999999</v>
      </c>
      <c r="C17" s="69">
        <f>IF((C5+C4)*10&gt;C2,C2+C14,IF((C5+C4)*10&lt;0.8*C2,0.8*C2+C14,(C5+C4)*10+C14))</f>
        <v>16423528</v>
      </c>
      <c r="D17" s="69">
        <f>IF((D5+D4)*10&gt;D2,D2+D14,IF((D5+D4)*10&lt;0.8*D2,0.8*D2+D14,(D5+D4)*10+D14))</f>
        <v>16543759.200000001</v>
      </c>
      <c r="E17" s="69">
        <f>IF((E5+E4)*9&gt;E2,E2+E14,IF((E5+E4)*9&lt;0.75*E2,0.75*E2+E14,(E5+E4)*9+E14))</f>
        <v>15989064.75</v>
      </c>
      <c r="F17" s="69">
        <f>IF((F5+F4)*8&gt;F2,F2+F14,IF((F5+F4)*8&lt;0.7*F2,0.7*F2+F14,(F5+F4)*8+F14))</f>
        <v>15410233.999999998</v>
      </c>
      <c r="G17" s="148">
        <f>IF((G5+G4)*7&gt;G2,G2+G14,IF((G5+G4)*7&lt;0.65*G2,0.65*G2+G14,(G5+G4)*7+G14))</f>
        <v>14738040.200000001</v>
      </c>
      <c r="H17" s="149">
        <f>IF((H5+H4)*6&gt;H2,H2+H14,IF((H5+H4)*6&lt;0.6*H2,0.6*H2+H14,(H5+H4)*6+H14))</f>
        <v>0</v>
      </c>
      <c r="I17" s="150"/>
    </row>
    <row r="18" spans="1:9">
      <c r="A18" s="85" t="s">
        <v>80</v>
      </c>
      <c r="B18" s="151">
        <f t="shared" ref="B18:G18" si="5">B17/B2</f>
        <v>0.8</v>
      </c>
      <c r="C18" s="151">
        <f t="shared" si="5"/>
        <v>0.8</v>
      </c>
      <c r="D18" s="151">
        <f t="shared" si="5"/>
        <v>0.8</v>
      </c>
      <c r="E18" s="151">
        <f t="shared" si="5"/>
        <v>0.75</v>
      </c>
      <c r="F18" s="151">
        <f t="shared" si="5"/>
        <v>0.7</v>
      </c>
      <c r="G18" s="147">
        <f t="shared" si="5"/>
        <v>0.65</v>
      </c>
    </row>
    <row r="19" spans="1:9" ht="16.5" thickBot="1">
      <c r="A19" s="152" t="s">
        <v>45</v>
      </c>
      <c r="B19" s="153">
        <f t="shared" ref="B19:G19" si="6">B17-B15</f>
        <v>6614983.4919999987</v>
      </c>
      <c r="C19" s="153">
        <f t="shared" si="6"/>
        <v>6275792.9900000002</v>
      </c>
      <c r="D19" s="153">
        <f t="shared" si="6"/>
        <v>5390093.7456000019</v>
      </c>
      <c r="E19" s="153">
        <f t="shared" si="6"/>
        <v>3955214.9627999999</v>
      </c>
      <c r="F19" s="153">
        <f t="shared" si="6"/>
        <v>2703155.5599999987</v>
      </c>
      <c r="G19" s="154">
        <f t="shared" si="6"/>
        <v>1621221.587199999</v>
      </c>
    </row>
    <row r="21" spans="1:9">
      <c r="B21" s="48"/>
      <c r="C21" s="48"/>
      <c r="D21" s="48"/>
      <c r="E21" s="48"/>
      <c r="F21" s="48"/>
      <c r="G21" s="48"/>
    </row>
    <row r="22" spans="1:9">
      <c r="B22" s="48"/>
      <c r="C22" s="48"/>
      <c r="D22" s="48"/>
      <c r="E22" s="48"/>
      <c r="F22" s="48"/>
      <c r="G22" s="48"/>
    </row>
  </sheetData>
  <conditionalFormatting sqref="B19:G19">
    <cfRule type="cellIs" dxfId="0" priority="1" stopIfTrue="1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Strateegia vorm KOV</vt:lpstr>
      <vt:lpstr>Arvestusüksus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Ylo Peets</dc:creator>
  <cp:lastModifiedBy>Alari Kirt | Viru-Nigula.ee</cp:lastModifiedBy>
  <dcterms:created xsi:type="dcterms:W3CDTF">2022-10-04T06:27:02Z</dcterms:created>
  <dcterms:modified xsi:type="dcterms:W3CDTF">2023-10-05T05:39:13Z</dcterms:modified>
</cp:coreProperties>
</file>